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280" windowHeight="11760" activeTab="3"/>
  </bookViews>
  <sheets>
    <sheet name="NSF" sheetId="9" r:id="rId1"/>
    <sheet name="AZ " sheetId="4" r:id="rId2"/>
    <sheet name="AZ Broad" sheetId="7" r:id="rId3"/>
    <sheet name="Play" sheetId="11" r:id="rId4"/>
  </sheets>
  <calcPr calcId="145621"/>
</workbook>
</file>

<file path=xl/calcChain.xml><?xml version="1.0" encoding="utf-8"?>
<calcChain xmlns="http://schemas.openxmlformats.org/spreadsheetml/2006/main">
  <c r="I6" i="11" l="1"/>
  <c r="K6" i="11" s="1"/>
  <c r="M6" i="11" s="1"/>
  <c r="H6" i="11"/>
  <c r="I10" i="11" s="1"/>
  <c r="K10" i="11" s="1"/>
  <c r="M10" i="11" s="1"/>
  <c r="H6" i="9"/>
  <c r="D14" i="9" s="1"/>
  <c r="B17" i="9" s="1"/>
  <c r="H6" i="7"/>
  <c r="D15" i="7" s="1"/>
  <c r="B18" i="7" s="1"/>
  <c r="I8" i="11" l="1"/>
  <c r="K8" i="11" s="1"/>
  <c r="I9" i="11"/>
  <c r="K9" i="11" s="1"/>
  <c r="D15" i="11"/>
  <c r="B18" i="11" s="1"/>
  <c r="I11" i="11"/>
  <c r="K11" i="11" s="1"/>
  <c r="I7" i="11"/>
  <c r="K7" i="11" s="1"/>
  <c r="I11" i="9"/>
  <c r="K11" i="9" s="1"/>
  <c r="I10" i="9"/>
  <c r="K10" i="9" s="1"/>
  <c r="M10" i="9" s="1"/>
  <c r="I6" i="9"/>
  <c r="K6" i="9" s="1"/>
  <c r="M6" i="9" s="1"/>
  <c r="I7" i="9"/>
  <c r="K7" i="9" s="1"/>
  <c r="I8" i="9"/>
  <c r="K8" i="9" s="1"/>
  <c r="I9" i="9"/>
  <c r="K9" i="9" s="1"/>
  <c r="I10" i="7"/>
  <c r="K10" i="7" s="1"/>
  <c r="M10" i="7" s="1"/>
  <c r="I6" i="7"/>
  <c r="K6" i="7" s="1"/>
  <c r="M6" i="7" s="1"/>
  <c r="I11" i="7"/>
  <c r="K11" i="7" s="1"/>
  <c r="I7" i="7"/>
  <c r="K7" i="7" s="1"/>
  <c r="I8" i="7"/>
  <c r="K8" i="7" s="1"/>
  <c r="I9" i="7"/>
  <c r="K9" i="7" s="1"/>
  <c r="H6" i="4"/>
  <c r="I10" i="4" s="1"/>
  <c r="K10" i="4" s="1"/>
  <c r="M10" i="4" s="1"/>
  <c r="M8" i="11" l="1"/>
  <c r="M9" i="11" s="1"/>
  <c r="L7" i="11"/>
  <c r="M7" i="11"/>
  <c r="M7" i="9"/>
  <c r="L7" i="9"/>
  <c r="M8" i="9"/>
  <c r="M9" i="9" s="1"/>
  <c r="M7" i="7"/>
  <c r="L7" i="7"/>
  <c r="M8" i="7"/>
  <c r="M9" i="7" s="1"/>
  <c r="D14" i="4"/>
  <c r="B17" i="4" s="1"/>
  <c r="I7" i="4"/>
  <c r="K7" i="4" s="1"/>
  <c r="M7" i="4" s="1"/>
  <c r="I8" i="4"/>
  <c r="K8" i="4" s="1"/>
  <c r="I9" i="4"/>
  <c r="K9" i="4" s="1"/>
  <c r="I11" i="4"/>
  <c r="K11" i="4" s="1"/>
  <c r="I6" i="4"/>
  <c r="K6" i="4" s="1"/>
  <c r="M6" i="4" s="1"/>
  <c r="M8" i="4" l="1"/>
  <c r="M9" i="4" s="1"/>
  <c r="L7" i="4"/>
</calcChain>
</file>

<file path=xl/sharedStrings.xml><?xml version="1.0" encoding="utf-8"?>
<sst xmlns="http://schemas.openxmlformats.org/spreadsheetml/2006/main" count="306" uniqueCount="81">
  <si>
    <t>Bedrooms</t>
  </si>
  <si>
    <t>GPD</t>
  </si>
  <si>
    <t>Strength</t>
  </si>
  <si>
    <t>Tank Influent</t>
  </si>
  <si>
    <t>Efficiency %</t>
  </si>
  <si>
    <t>Flow GPD</t>
  </si>
  <si>
    <t>Tank Volume</t>
  </si>
  <si>
    <t>#people</t>
  </si>
  <si>
    <t>per bedroom</t>
  </si>
  <si>
    <t>Number of</t>
  </si>
  <si>
    <t>Wastewater</t>
  </si>
  <si>
    <t>Components</t>
  </si>
  <si>
    <t>Estimated</t>
  </si>
  <si>
    <t xml:space="preserve">Tot. Influent </t>
  </si>
  <si>
    <t>TSS, mg/l</t>
  </si>
  <si>
    <t>BOD, mg/l</t>
  </si>
  <si>
    <t>FOG, mg/l</t>
  </si>
  <si>
    <t>Alkalinity, mg/l</t>
  </si>
  <si>
    <t>INPUT NUMBERS</t>
  </si>
  <si>
    <t>CALCULATED NUMBERS</t>
  </si>
  <si>
    <t>Septic Tank</t>
  </si>
  <si>
    <t>TKN, mg/l</t>
  </si>
  <si>
    <t>NO3-N, mg/l</t>
  </si>
  <si>
    <t>Conversion</t>
  </si>
  <si>
    <t xml:space="preserve">    Denitrification assumes 50% of effluent BOD is available in anaerobic zone of field</t>
  </si>
  <si>
    <t>-</t>
  </si>
  <si>
    <t xml:space="preserve">     (could still cause severe clogging &amp; biomat formation otherwise)</t>
  </si>
  <si>
    <t xml:space="preserve">    Assumes complete removal (99%) in field of TSS, BOD, &amp; FOG</t>
  </si>
  <si>
    <t>Flow % to reuse</t>
  </si>
  <si>
    <t xml:space="preserve">COMPARISON </t>
  </si>
  <si>
    <t>SEPTIC TANK</t>
  </si>
  <si>
    <t>Hydraulic loading rate:</t>
  </si>
  <si>
    <t>hrs</t>
  </si>
  <si>
    <t>Gal</t>
  </si>
  <si>
    <t xml:space="preserve"> -</t>
  </si>
  <si>
    <t>Retention Time</t>
  </si>
  <si>
    <t>NA</t>
  </si>
  <si>
    <t>Loading to Field</t>
  </si>
  <si>
    <t>lbs/sqft/day</t>
  </si>
  <si>
    <t>GPD/sqft</t>
  </si>
  <si>
    <t>AZ Scenario</t>
  </si>
  <si>
    <t>WERF Long Term Effects Of Landscape Irrigation Using Household Graywater-Literature Review And Synthesis, 2006.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</si>
  <si>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Flow based on 2-3 bedroom home in AZ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</si>
  <si>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Flow per person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</si>
  <si>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Wastewater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</si>
  <si>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Influent values taken from ADEQ page 5, item 42, “Typical Sewage”. Alkalinity NSF Standard 40.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</si>
  <si>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 xml:space="preserve"> Graywater</t>
    </r>
  </si>
  <si>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TSS and BOD taken from Casanova, Gerba and Karpiscak 2001, Casa Del Agua Study. Nitrogen and FOG assumed.</t>
    </r>
  </si>
  <si>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 xml:space="preserve"> Graywater</t>
    </r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</si>
  <si>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Graywater is reused , i.e. does not enter tank</t>
    </r>
  </si>
  <si>
    <r>
      <rPr>
        <i/>
        <vertAlign val="superscript"/>
        <sz val="10"/>
        <rFont val="Arial"/>
        <family val="2"/>
      </rPr>
      <t>5</t>
    </r>
    <r>
      <rPr>
        <i/>
        <sz val="10"/>
        <rFont val="Arial"/>
        <family val="2"/>
      </rPr>
      <t xml:space="preserve"> Typical</t>
    </r>
  </si>
  <si>
    <t>to Field</t>
  </si>
  <si>
    <r>
      <rPr>
        <i/>
        <vertAlign val="superscript"/>
        <sz val="10"/>
        <rFont val="Arial"/>
        <family val="2"/>
      </rPr>
      <t>6</t>
    </r>
    <r>
      <rPr>
        <i/>
        <sz val="10"/>
        <rFont val="Arial"/>
        <family val="2"/>
      </rPr>
      <t xml:space="preserve"> Effluent</t>
    </r>
  </si>
  <si>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If BOD, TSS &amp; FOG are higher than typical numbers, the drain field needs to be larger </t>
    </r>
  </si>
  <si>
    <t>in Field</t>
  </si>
  <si>
    <t>R-18-9-E302 B</t>
  </si>
  <si>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TSS, BOD &amp; Nitrogen calculated w/ ADEQ influent &amp; effluent strengths. FOG from Seabloom, Bounds, Louden. Alkalinity no data</t>
    </r>
  </si>
  <si>
    <r>
      <rPr>
        <b/>
        <vertAlign val="superscript"/>
        <sz val="10"/>
        <rFont val="Arial"/>
        <family val="2"/>
      </rPr>
      <t>7</t>
    </r>
    <r>
      <rPr>
        <b/>
        <sz val="10"/>
        <rFont val="Arial"/>
        <family val="2"/>
      </rPr>
      <t xml:space="preserve"> Hydraulic loading to field (design requirement):</t>
    </r>
  </si>
  <si>
    <r>
      <rPr>
        <i/>
        <vertAlign val="superscript"/>
        <sz val="10"/>
        <rFont val="Arial"/>
        <family val="2"/>
      </rPr>
      <t>7</t>
    </r>
    <r>
      <rPr>
        <i/>
        <sz val="10"/>
        <rFont val="Arial"/>
        <family val="2"/>
      </rPr>
      <t xml:space="preserve"> Organic</t>
    </r>
  </si>
  <si>
    <r>
      <rPr>
        <b/>
        <vertAlign val="superscript"/>
        <sz val="10"/>
        <rFont val="Arial"/>
        <family val="2"/>
      </rPr>
      <t>7</t>
    </r>
    <r>
      <rPr>
        <b/>
        <sz val="10"/>
        <rFont val="Arial"/>
        <family val="2"/>
      </rPr>
      <t xml:space="preserve"> Typical rock &amp; pipe trench and hydraulic loading information provided by Peter Livingston, Bosque Engineering, Tucson, AZ.</t>
    </r>
  </si>
  <si>
    <r>
      <rPr>
        <i/>
        <vertAlign val="superscript"/>
        <sz val="10"/>
        <rFont val="Arial"/>
        <family val="2"/>
      </rPr>
      <t>8</t>
    </r>
    <r>
      <rPr>
        <i/>
        <sz val="10"/>
        <rFont val="Arial"/>
        <family val="2"/>
      </rPr>
      <t xml:space="preserve"> Potential</t>
    </r>
  </si>
  <si>
    <r>
      <rPr>
        <b/>
        <vertAlign val="superscript"/>
        <sz val="10"/>
        <rFont val="Arial"/>
        <family val="2"/>
      </rPr>
      <t>8</t>
    </r>
    <r>
      <rPr>
        <b/>
        <sz val="10"/>
        <rFont val="Arial"/>
        <family val="2"/>
      </rPr>
      <t xml:space="preserve"> Assumes enough oxygen is available for nitrification in aerobic zone of field; alkalinity comes from effluent only</t>
    </r>
  </si>
  <si>
    <r>
      <rPr>
        <b/>
        <vertAlign val="superscript"/>
        <sz val="10"/>
        <rFont val="Arial"/>
        <family val="2"/>
      </rPr>
      <t>9</t>
    </r>
    <r>
      <rPr>
        <b/>
        <sz val="10"/>
        <rFont val="Arial"/>
        <family val="2"/>
      </rPr>
      <t xml:space="preserve"> Average numbers from EPA Onsite Wastewater Treatment Manual</t>
    </r>
  </si>
  <si>
    <r>
      <rPr>
        <i/>
        <vertAlign val="superscript"/>
        <sz val="10"/>
        <rFont val="Arial"/>
        <family val="2"/>
      </rPr>
      <t>9</t>
    </r>
    <r>
      <rPr>
        <i/>
        <sz val="10"/>
        <rFont val="Arial"/>
        <family val="2"/>
      </rPr>
      <t xml:space="preserve"> Typical Septic Tank</t>
    </r>
  </si>
  <si>
    <t>Effluent Strength</t>
  </si>
  <si>
    <r>
      <rPr>
        <b/>
        <vertAlign val="super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Numbers from Title 18 Chapter 9 Arizona Administrative Code</t>
    </r>
  </si>
  <si>
    <t>Flow % from Charles P. Gerba Powerpoint Presentation. Pg 12-13. Sources Of Graywater In Pima County.</t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</si>
  <si>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 Influent NSF Standard 40 Median except FOG which is taken from EPA manual, table 3-7 range of 70 to 105 mg/l, median 87.5 mg/l. </t>
    </r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</si>
  <si>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Graywater is reused , i.e. does not enter tank.</t>
    </r>
  </si>
  <si>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TSS, BOD from EPA as decribed. Nitrogen assumed.  FOG from Seabloom, Bounds, Louden. Alkalinity no data.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</si>
  <si>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2010 Census persons per household Tucson, AZ and EPA Table 3-2.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</si>
  <si>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 Influent NSF Standard 40 median except FOG which is taken from EPA manual, table 3-7 range of 70 to 105 mg/l, median 87.5 mg/l. </t>
    </r>
  </si>
  <si>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Graywater Estimated TSS, BOD from NSF Standard 245 Median. TKN, FOG assumed. </t>
    </r>
  </si>
  <si>
    <t>AZ/Broad Scenario</t>
  </si>
  <si>
    <r>
      <rPr>
        <i/>
        <vertAlign val="superscript"/>
        <sz val="10"/>
        <rFont val="Arial"/>
        <family val="2"/>
      </rPr>
      <t>*</t>
    </r>
    <r>
      <rPr>
        <i/>
        <sz val="10"/>
        <rFont val="Arial"/>
        <family val="2"/>
      </rPr>
      <t xml:space="preserve"> Number of</t>
    </r>
  </si>
  <si>
    <r>
      <rPr>
        <b/>
        <vertAlign val="superscript"/>
        <sz val="10"/>
        <rFont val="Arial"/>
        <family val="2"/>
      </rPr>
      <t>*</t>
    </r>
    <r>
      <rPr>
        <b/>
        <sz val="10"/>
        <rFont val="Arial"/>
        <family val="2"/>
      </rPr>
      <t xml:space="preserve"> I input 1 to use census data for calculation. Not literally a 1 bedroom home. </t>
    </r>
  </si>
  <si>
    <t>Flow % from WERF Long Term Effects Of Landscape Irrigation Using Household Graywater-Literature Review And Synthesis, 2006.</t>
  </si>
  <si>
    <t>Alkalinity mean of 158 mg/l from Tier Two and Three Greywater Subsurface Irrigation Systems/Guidance, Washington State, pg 14.</t>
  </si>
  <si>
    <t>"NSF"Scenario Applied To AZ Home</t>
  </si>
  <si>
    <r>
      <rPr>
        <i/>
        <vertAlign val="superscript"/>
        <sz val="10"/>
        <rFont val="Arial"/>
        <family val="2"/>
      </rPr>
      <t>10</t>
    </r>
    <r>
      <rPr>
        <i/>
        <sz val="10"/>
        <rFont val="Arial"/>
        <family val="2"/>
      </rPr>
      <t xml:space="preserve"> AZ Effluent Strength</t>
    </r>
  </si>
  <si>
    <t>AZ/Broad/Play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</si>
</sst>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48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" fontId="0" fillId="0" borderId="0" xfId="0" applyNumberFormat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/>
    <xf numFmtId="0" fontId="2" fillId="7" borderId="3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4" xfId="0" applyFont="1" applyFill="1" applyBorder="1"/>
    <xf numFmtId="0" fontId="2" fillId="7" borderId="4" xfId="0" applyFont="1" applyFill="1" applyBorder="1" applyAlignment="1">
      <alignment horizontal="center"/>
    </xf>
    <xf numFmtId="0" fontId="2" fillId="0" borderId="0" xfId="0" applyFont="1"/>
    <xf numFmtId="1" fontId="1" fillId="6" borderId="3" xfId="0" applyNumberFormat="1" applyFont="1" applyFill="1" applyBorder="1" applyAlignment="1">
      <alignment horizontal="center"/>
    </xf>
    <xf numFmtId="1" fontId="1" fillId="6" borderId="0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" fontId="0" fillId="0" borderId="0" xfId="0" applyNumberFormat="1" applyFill="1" applyBorder="1"/>
    <xf numFmtId="0" fontId="2" fillId="5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1" fontId="4" fillId="8" borderId="7" xfId="0" applyNumberFormat="1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8" fillId="0" borderId="0" xfId="0" applyFont="1"/>
    <xf numFmtId="0" fontId="4" fillId="4" borderId="0" xfId="0" applyFon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9" borderId="3" xfId="0" applyNumberFormat="1" applyFont="1" applyFill="1" applyBorder="1" applyAlignment="1">
      <alignment horizontal="center"/>
    </xf>
    <xf numFmtId="9" fontId="2" fillId="9" borderId="0" xfId="0" applyNumberFormat="1" applyFont="1" applyFill="1" applyBorder="1" applyAlignment="1">
      <alignment horizontal="center"/>
    </xf>
    <xf numFmtId="9" fontId="2" fillId="9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9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Border="1"/>
    <xf numFmtId="0" fontId="2" fillId="7" borderId="3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9" fontId="2" fillId="7" borderId="3" xfId="1" applyNumberFormat="1" applyFont="1" applyFill="1" applyBorder="1" applyAlignment="1">
      <alignment horizontal="center" vertical="center"/>
    </xf>
    <xf numFmtId="9" fontId="2" fillId="7" borderId="0" xfId="1" applyNumberFormat="1" applyFont="1" applyFill="1" applyBorder="1" applyAlignment="1">
      <alignment horizontal="center" vertical="center"/>
    </xf>
    <xf numFmtId="9" fontId="2" fillId="7" borderId="4" xfId="1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zoomScaleNormal="100" workbookViewId="0">
      <selection activeCell="J1" sqref="J1"/>
    </sheetView>
  </sheetViews>
  <sheetFormatPr defaultRowHeight="12.75" x14ac:dyDescent="0.2"/>
  <cols>
    <col min="1" max="1" width="13.140625" customWidth="1"/>
    <col min="2" max="2" width="10.140625" customWidth="1"/>
    <col min="3" max="3" width="15.7109375" customWidth="1"/>
    <col min="4" max="6" width="12.7109375" customWidth="1"/>
    <col min="7" max="7" width="14.42578125" customWidth="1"/>
    <col min="8" max="11" width="12.7109375" customWidth="1"/>
    <col min="12" max="12" width="15.5703125" customWidth="1"/>
    <col min="13" max="13" width="17.7109375" customWidth="1"/>
    <col min="14" max="14" width="20.85546875" customWidth="1"/>
    <col min="15" max="15" width="20.7109375" customWidth="1"/>
    <col min="16" max="16" width="9.140625" customWidth="1"/>
  </cols>
  <sheetData>
    <row r="1" spans="1:15" s="2" customFormat="1" ht="46.5" customHeight="1" x14ac:dyDescent="0.25">
      <c r="A1" s="76" t="s">
        <v>30</v>
      </c>
      <c r="B1" s="76"/>
      <c r="C1" s="76"/>
      <c r="D1" s="76"/>
      <c r="E1" s="76"/>
      <c r="F1" s="77" t="s">
        <v>78</v>
      </c>
      <c r="G1" s="78"/>
      <c r="H1" s="79" t="s">
        <v>57</v>
      </c>
      <c r="I1" s="80"/>
      <c r="J1" s="52">
        <v>0.6</v>
      </c>
      <c r="K1" s="53" t="s">
        <v>39</v>
      </c>
    </row>
    <row r="2" spans="1:15" s="2" customFormat="1" x14ac:dyDescent="0.2">
      <c r="A2" s="81" t="s">
        <v>18</v>
      </c>
      <c r="B2" s="81"/>
      <c r="C2" s="81"/>
      <c r="D2" s="81"/>
      <c r="E2" s="81"/>
      <c r="F2" s="81"/>
      <c r="G2" s="81"/>
      <c r="H2" s="82" t="s">
        <v>19</v>
      </c>
      <c r="I2" s="82"/>
      <c r="J2" s="82"/>
      <c r="K2" s="82"/>
      <c r="L2" s="82"/>
      <c r="M2" s="82"/>
      <c r="N2" s="13" t="s">
        <v>29</v>
      </c>
      <c r="O2" s="42" t="s">
        <v>29</v>
      </c>
    </row>
    <row r="3" spans="1:15" ht="14.25" x14ac:dyDescent="0.2">
      <c r="A3" s="8"/>
      <c r="B3" s="8"/>
      <c r="C3" s="8"/>
      <c r="D3" s="8"/>
      <c r="E3" s="9" t="s">
        <v>44</v>
      </c>
      <c r="F3" s="9" t="s">
        <v>46</v>
      </c>
      <c r="G3" s="8"/>
      <c r="H3" s="10"/>
      <c r="I3" s="10"/>
      <c r="J3" s="11" t="s">
        <v>50</v>
      </c>
      <c r="K3" s="11" t="s">
        <v>52</v>
      </c>
      <c r="L3" s="50" t="s">
        <v>58</v>
      </c>
      <c r="M3" s="11" t="s">
        <v>60</v>
      </c>
      <c r="N3" s="12" t="s">
        <v>63</v>
      </c>
      <c r="O3" s="43" t="s">
        <v>79</v>
      </c>
    </row>
    <row r="4" spans="1:15" s="1" customFormat="1" ht="14.25" x14ac:dyDescent="0.2">
      <c r="A4" s="9" t="s">
        <v>7</v>
      </c>
      <c r="B4" s="9" t="s">
        <v>9</v>
      </c>
      <c r="C4" s="9" t="s">
        <v>43</v>
      </c>
      <c r="D4" s="9" t="s">
        <v>10</v>
      </c>
      <c r="E4" s="9" t="s">
        <v>13</v>
      </c>
      <c r="F4" s="9" t="s">
        <v>12</v>
      </c>
      <c r="G4" s="9" t="s">
        <v>48</v>
      </c>
      <c r="H4" s="11" t="s">
        <v>3</v>
      </c>
      <c r="I4" s="11" t="s">
        <v>3</v>
      </c>
      <c r="J4" s="11" t="s">
        <v>20</v>
      </c>
      <c r="K4" s="11" t="s">
        <v>2</v>
      </c>
      <c r="L4" s="50" t="s">
        <v>37</v>
      </c>
      <c r="M4" s="11" t="s">
        <v>23</v>
      </c>
      <c r="N4" s="12" t="s">
        <v>64</v>
      </c>
      <c r="O4" s="43" t="s">
        <v>55</v>
      </c>
    </row>
    <row r="5" spans="1:15" s="1" customFormat="1" x14ac:dyDescent="0.2">
      <c r="A5" s="9" t="s">
        <v>8</v>
      </c>
      <c r="B5" s="9" t="s">
        <v>0</v>
      </c>
      <c r="C5" s="9" t="s">
        <v>1</v>
      </c>
      <c r="D5" s="9" t="s">
        <v>11</v>
      </c>
      <c r="E5" s="9" t="s">
        <v>2</v>
      </c>
      <c r="F5" s="9" t="s">
        <v>2</v>
      </c>
      <c r="G5" s="9" t="s">
        <v>28</v>
      </c>
      <c r="H5" s="11" t="s">
        <v>5</v>
      </c>
      <c r="I5" s="11" t="s">
        <v>2</v>
      </c>
      <c r="J5" s="11" t="s">
        <v>4</v>
      </c>
      <c r="K5" s="11" t="s">
        <v>51</v>
      </c>
      <c r="L5" s="50" t="s">
        <v>38</v>
      </c>
      <c r="M5" s="11" t="s">
        <v>54</v>
      </c>
      <c r="N5" s="7"/>
      <c r="O5" s="44"/>
    </row>
    <row r="6" spans="1:15" x14ac:dyDescent="0.2">
      <c r="A6" s="67">
        <v>2</v>
      </c>
      <c r="B6" s="67">
        <v>2</v>
      </c>
      <c r="C6" s="67">
        <v>75</v>
      </c>
      <c r="D6" s="25" t="s">
        <v>14</v>
      </c>
      <c r="E6" s="26">
        <v>225</v>
      </c>
      <c r="F6" s="26">
        <v>120</v>
      </c>
      <c r="G6" s="70">
        <v>0.72</v>
      </c>
      <c r="H6" s="73">
        <f>A6*B6*C6*(1-G6)</f>
        <v>84.000000000000014</v>
      </c>
      <c r="I6" s="14">
        <f t="shared" ref="I6:I11" si="0">((E6*$A$6*$B$6*$C$6)-(F6*$G$6*$C$6*$B$6*$A$6))/$H$6</f>
        <v>494.99999999999994</v>
      </c>
      <c r="J6" s="54">
        <v>0.7</v>
      </c>
      <c r="K6" s="14">
        <f t="shared" ref="K6:K11" si="1">I6*(1-J6)</f>
        <v>148.5</v>
      </c>
      <c r="L6" s="14"/>
      <c r="M6" s="32">
        <f>IF(K6&gt;N6*1.5,"Field Overload!",(1-0.99)*K6)</f>
        <v>1.4850000000000012</v>
      </c>
      <c r="N6" s="35">
        <v>101</v>
      </c>
      <c r="O6" s="45">
        <v>75</v>
      </c>
    </row>
    <row r="7" spans="1:15" x14ac:dyDescent="0.2">
      <c r="A7" s="68"/>
      <c r="B7" s="68"/>
      <c r="C7" s="68"/>
      <c r="D7" s="27" t="s">
        <v>15</v>
      </c>
      <c r="E7" s="28">
        <v>200</v>
      </c>
      <c r="F7" s="28">
        <v>155</v>
      </c>
      <c r="G7" s="71"/>
      <c r="H7" s="74"/>
      <c r="I7" s="15">
        <f t="shared" si="0"/>
        <v>315.71428571428567</v>
      </c>
      <c r="J7" s="55">
        <v>0.4</v>
      </c>
      <c r="K7" s="15">
        <f t="shared" si="1"/>
        <v>189.42857142857139</v>
      </c>
      <c r="L7" s="51">
        <f>(K7/(1000000*0.4546))*J1*3.785</f>
        <v>9.463094714348561E-4</v>
      </c>
      <c r="M7" s="33">
        <f>IF(K7&gt;1.5*N7,"Field Overload!",(1-0.99)*K7)</f>
        <v>1.8942857142857155</v>
      </c>
      <c r="N7" s="36">
        <v>147</v>
      </c>
      <c r="O7" s="46">
        <v>150</v>
      </c>
    </row>
    <row r="8" spans="1:15" x14ac:dyDescent="0.2">
      <c r="A8" s="68"/>
      <c r="B8" s="68"/>
      <c r="C8" s="68"/>
      <c r="D8" s="27" t="s">
        <v>21</v>
      </c>
      <c r="E8" s="28">
        <v>50</v>
      </c>
      <c r="F8" s="28">
        <v>5</v>
      </c>
      <c r="G8" s="71"/>
      <c r="H8" s="74"/>
      <c r="I8" s="15">
        <f t="shared" si="0"/>
        <v>165.71428571428569</v>
      </c>
      <c r="J8" s="55">
        <v>0.1</v>
      </c>
      <c r="K8" s="15">
        <f t="shared" si="1"/>
        <v>149.14285714285714</v>
      </c>
      <c r="L8" s="15"/>
      <c r="M8" s="33">
        <f>IF(K8-((K11+(3*0.5*K7/5))/7.14)&lt;2,2,K8-((K11+(3*0.5*K7/5))/7.14))</f>
        <v>110.55142056822729</v>
      </c>
      <c r="N8" s="37">
        <v>68</v>
      </c>
      <c r="O8" s="47">
        <v>53</v>
      </c>
    </row>
    <row r="9" spans="1:15" x14ac:dyDescent="0.2">
      <c r="A9" s="68"/>
      <c r="B9" s="68"/>
      <c r="C9" s="68"/>
      <c r="D9" s="27" t="s">
        <v>22</v>
      </c>
      <c r="E9" s="28">
        <v>0</v>
      </c>
      <c r="F9" s="28">
        <v>0</v>
      </c>
      <c r="G9" s="71"/>
      <c r="H9" s="74"/>
      <c r="I9" s="15">
        <f t="shared" si="0"/>
        <v>0</v>
      </c>
      <c r="J9" s="55">
        <v>0</v>
      </c>
      <c r="K9" s="15">
        <f t="shared" si="1"/>
        <v>0</v>
      </c>
      <c r="L9" s="15"/>
      <c r="M9" s="33">
        <f>IF((K8+K9-M8-(K7*0.5/5))&lt;2,2,K8+K9-M8-(K7*0.5/5))</f>
        <v>19.648579431772713</v>
      </c>
      <c r="N9" s="37">
        <v>0</v>
      </c>
      <c r="O9" s="47" t="s">
        <v>36</v>
      </c>
    </row>
    <row r="10" spans="1:15" x14ac:dyDescent="0.2">
      <c r="A10" s="68"/>
      <c r="B10" s="68"/>
      <c r="C10" s="68"/>
      <c r="D10" s="27" t="s">
        <v>16</v>
      </c>
      <c r="E10" s="28">
        <v>87.5</v>
      </c>
      <c r="F10" s="28">
        <v>9</v>
      </c>
      <c r="G10" s="71"/>
      <c r="H10" s="74"/>
      <c r="I10" s="15">
        <f t="shared" si="0"/>
        <v>289.35714285714283</v>
      </c>
      <c r="J10" s="55">
        <v>0.79</v>
      </c>
      <c r="K10" s="15">
        <f t="shared" si="1"/>
        <v>60.764999999999986</v>
      </c>
      <c r="L10" s="15"/>
      <c r="M10" s="33">
        <f>(1-0.99)*K10</f>
        <v>0.60765000000000036</v>
      </c>
      <c r="N10" s="36">
        <v>36</v>
      </c>
      <c r="O10" s="46" t="s">
        <v>36</v>
      </c>
    </row>
    <row r="11" spans="1:15" x14ac:dyDescent="0.2">
      <c r="A11" s="69"/>
      <c r="B11" s="69"/>
      <c r="C11" s="69"/>
      <c r="D11" s="29" t="s">
        <v>17</v>
      </c>
      <c r="E11" s="30">
        <v>175</v>
      </c>
      <c r="F11" s="30">
        <v>158</v>
      </c>
      <c r="G11" s="72"/>
      <c r="H11" s="75"/>
      <c r="I11" s="16">
        <f t="shared" si="0"/>
        <v>218.71428571428567</v>
      </c>
      <c r="J11" s="56">
        <v>0</v>
      </c>
      <c r="K11" s="16">
        <f t="shared" si="1"/>
        <v>218.71428571428567</v>
      </c>
      <c r="L11" s="16"/>
      <c r="M11" s="34" t="s">
        <v>34</v>
      </c>
      <c r="N11" s="38" t="s">
        <v>25</v>
      </c>
      <c r="O11" s="48" t="s">
        <v>36</v>
      </c>
    </row>
    <row r="12" spans="1:15" ht="14.25" x14ac:dyDescent="0.2">
      <c r="F12" s="40" t="s">
        <v>42</v>
      </c>
    </row>
    <row r="13" spans="1:15" ht="14.25" x14ac:dyDescent="0.2">
      <c r="F13" s="31" t="s">
        <v>71</v>
      </c>
    </row>
    <row r="14" spans="1:15" ht="14.25" x14ac:dyDescent="0.2">
      <c r="A14" s="18" t="s">
        <v>31</v>
      </c>
      <c r="B14" s="18"/>
      <c r="D14" s="66">
        <f>H6</f>
        <v>84.000000000000014</v>
      </c>
      <c r="E14" s="22" t="s">
        <v>1</v>
      </c>
      <c r="F14" s="31" t="s">
        <v>72</v>
      </c>
    </row>
    <row r="15" spans="1:15" x14ac:dyDescent="0.2">
      <c r="C15" s="20"/>
      <c r="E15" s="20"/>
      <c r="F15" s="31" t="s">
        <v>77</v>
      </c>
    </row>
    <row r="16" spans="1:15" ht="14.25" x14ac:dyDescent="0.2">
      <c r="A16" s="31" t="s">
        <v>6</v>
      </c>
      <c r="B16" s="20">
        <v>1000</v>
      </c>
      <c r="C16" s="31" t="s">
        <v>33</v>
      </c>
      <c r="E16" s="17"/>
      <c r="F16" s="3" t="s">
        <v>49</v>
      </c>
    </row>
    <row r="17" spans="1:14" x14ac:dyDescent="0.2">
      <c r="A17" s="24" t="s">
        <v>35</v>
      </c>
      <c r="B17" s="21">
        <f>B16/D14*24</f>
        <v>285.71428571428567</v>
      </c>
      <c r="C17" s="24" t="s">
        <v>32</v>
      </c>
      <c r="E17" s="21"/>
      <c r="F17" s="49" t="s">
        <v>76</v>
      </c>
    </row>
    <row r="18" spans="1:14" ht="14.25" x14ac:dyDescent="0.2">
      <c r="A18" s="23"/>
      <c r="B18" s="18"/>
      <c r="C18" s="17"/>
      <c r="E18" s="17"/>
      <c r="F18" s="4" t="s">
        <v>69</v>
      </c>
    </row>
    <row r="19" spans="1:14" ht="14.25" x14ac:dyDescent="0.2">
      <c r="F19" s="4" t="s">
        <v>53</v>
      </c>
      <c r="K19" s="5"/>
      <c r="L19" s="5"/>
    </row>
    <row r="20" spans="1:14" x14ac:dyDescent="0.2">
      <c r="F20" s="4" t="s">
        <v>26</v>
      </c>
      <c r="K20" s="5"/>
      <c r="L20" s="5"/>
    </row>
    <row r="21" spans="1:14" ht="14.25" x14ac:dyDescent="0.2">
      <c r="F21" s="31" t="s">
        <v>59</v>
      </c>
      <c r="K21" s="5"/>
      <c r="L21" s="5"/>
    </row>
    <row r="22" spans="1:14" ht="14.25" x14ac:dyDescent="0.2">
      <c r="A22" s="6"/>
      <c r="B22" s="6"/>
      <c r="C22" s="6"/>
      <c r="D22" s="19"/>
      <c r="E22" s="19"/>
      <c r="F22" s="4" t="s">
        <v>61</v>
      </c>
      <c r="G22" s="19"/>
      <c r="H22" s="19"/>
      <c r="I22" s="19"/>
      <c r="J22" s="19"/>
      <c r="K22" s="19"/>
      <c r="L22" s="19"/>
      <c r="M22" s="19"/>
      <c r="N22" s="19"/>
    </row>
    <row r="23" spans="1:14" x14ac:dyDescent="0.2">
      <c r="A23" s="23"/>
      <c r="B23" s="39"/>
      <c r="C23" s="23"/>
      <c r="D23" s="19"/>
      <c r="E23" s="19"/>
      <c r="F23" s="4" t="s">
        <v>24</v>
      </c>
      <c r="G23" s="19"/>
      <c r="H23" s="19"/>
      <c r="I23" s="41"/>
      <c r="J23" s="19"/>
      <c r="K23" s="19"/>
      <c r="L23" s="19"/>
      <c r="M23" s="19"/>
      <c r="N23" s="19"/>
    </row>
    <row r="24" spans="1:14" x14ac:dyDescent="0.2">
      <c r="A24" s="19"/>
      <c r="B24" s="19"/>
      <c r="C24" s="19"/>
      <c r="D24" s="19"/>
      <c r="E24" s="19"/>
      <c r="F24" s="6" t="s">
        <v>27</v>
      </c>
      <c r="G24" s="19"/>
      <c r="H24" s="19"/>
      <c r="I24" s="19"/>
      <c r="J24" s="41"/>
      <c r="K24" s="19"/>
      <c r="L24" s="19"/>
      <c r="M24" s="19"/>
      <c r="N24" s="19"/>
    </row>
    <row r="25" spans="1:14" ht="14.25" x14ac:dyDescent="0.2">
      <c r="A25" s="19"/>
      <c r="B25" s="19"/>
      <c r="C25" s="19"/>
      <c r="D25" s="19"/>
      <c r="E25" s="19"/>
      <c r="F25" s="4" t="s">
        <v>62</v>
      </c>
      <c r="G25" s="19"/>
      <c r="H25" s="19"/>
      <c r="I25" s="19"/>
      <c r="J25" s="19"/>
      <c r="K25" s="19"/>
      <c r="L25" s="19"/>
      <c r="M25" s="19"/>
      <c r="N25" s="19"/>
    </row>
    <row r="26" spans="1:14" ht="14.25" x14ac:dyDescent="0.2">
      <c r="A26" s="19"/>
      <c r="B26" s="19"/>
      <c r="C26" s="19"/>
      <c r="D26" s="19"/>
      <c r="E26" s="19"/>
      <c r="F26" s="4" t="s">
        <v>65</v>
      </c>
      <c r="G26" s="19"/>
      <c r="H26" s="19"/>
      <c r="I26" s="19"/>
      <c r="J26" s="19"/>
      <c r="K26" s="19"/>
      <c r="L26" s="19"/>
      <c r="M26" s="19"/>
      <c r="N26" s="19"/>
    </row>
    <row r="27" spans="1:14" x14ac:dyDescent="0.2">
      <c r="G27" s="18"/>
    </row>
    <row r="28" spans="1:14" x14ac:dyDescent="0.2">
      <c r="G28" s="18"/>
    </row>
    <row r="29" spans="1:14" x14ac:dyDescent="0.2">
      <c r="A29" s="19"/>
      <c r="D29" s="17"/>
      <c r="E29" s="17"/>
      <c r="G29" s="18"/>
    </row>
    <row r="30" spans="1:14" x14ac:dyDescent="0.2">
      <c r="G30" s="18"/>
    </row>
    <row r="31" spans="1:14" x14ac:dyDescent="0.2">
      <c r="F31" s="17"/>
      <c r="G31" s="18"/>
    </row>
    <row r="32" spans="1:14" x14ac:dyDescent="0.2">
      <c r="A32" s="18"/>
      <c r="F32" s="31"/>
      <c r="G32" s="18"/>
    </row>
  </sheetData>
  <mergeCells count="10">
    <mergeCell ref="A1:E1"/>
    <mergeCell ref="F1:G1"/>
    <mergeCell ref="H1:I1"/>
    <mergeCell ref="A2:G2"/>
    <mergeCell ref="H2:M2"/>
    <mergeCell ref="A6:A11"/>
    <mergeCell ref="B6:B11"/>
    <mergeCell ref="C6:C11"/>
    <mergeCell ref="G6:G11"/>
    <mergeCell ref="H6:H11"/>
  </mergeCells>
  <pageMargins left="0.12" right="0.12" top="1" bottom="1" header="0.5" footer="0.5"/>
  <pageSetup paperSize="5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zoomScaleNormal="100" workbookViewId="0">
      <selection activeCell="J7" sqref="J7"/>
    </sheetView>
  </sheetViews>
  <sheetFormatPr defaultRowHeight="12.75" x14ac:dyDescent="0.2"/>
  <cols>
    <col min="1" max="1" width="13.140625" customWidth="1"/>
    <col min="2" max="2" width="10.140625" customWidth="1"/>
    <col min="3" max="3" width="15.7109375" customWidth="1"/>
    <col min="4" max="6" width="12.7109375" customWidth="1"/>
    <col min="7" max="7" width="14.42578125" customWidth="1"/>
    <col min="8" max="11" width="12.7109375" customWidth="1"/>
    <col min="12" max="12" width="15.5703125" customWidth="1"/>
    <col min="13" max="13" width="17.7109375" customWidth="1"/>
    <col min="14" max="14" width="20.85546875" customWidth="1"/>
    <col min="15" max="15" width="20.7109375" customWidth="1"/>
    <col min="16" max="16" width="9.140625" customWidth="1"/>
  </cols>
  <sheetData>
    <row r="1" spans="1:15" s="2" customFormat="1" ht="46.5" customHeight="1" x14ac:dyDescent="0.25">
      <c r="A1" s="76" t="s">
        <v>30</v>
      </c>
      <c r="B1" s="76"/>
      <c r="C1" s="76"/>
      <c r="D1" s="76"/>
      <c r="E1" s="76"/>
      <c r="F1" s="83" t="s">
        <v>40</v>
      </c>
      <c r="G1" s="84"/>
      <c r="H1" s="79" t="s">
        <v>57</v>
      </c>
      <c r="I1" s="80"/>
      <c r="J1" s="52">
        <v>0.6</v>
      </c>
      <c r="K1" s="53" t="s">
        <v>39</v>
      </c>
    </row>
    <row r="2" spans="1:15" s="2" customFormat="1" x14ac:dyDescent="0.2">
      <c r="A2" s="81" t="s">
        <v>18</v>
      </c>
      <c r="B2" s="81"/>
      <c r="C2" s="81"/>
      <c r="D2" s="81"/>
      <c r="E2" s="81"/>
      <c r="F2" s="81"/>
      <c r="G2" s="81"/>
      <c r="H2" s="82" t="s">
        <v>19</v>
      </c>
      <c r="I2" s="82"/>
      <c r="J2" s="82"/>
      <c r="K2" s="82"/>
      <c r="L2" s="82"/>
      <c r="M2" s="82"/>
      <c r="N2" s="13" t="s">
        <v>29</v>
      </c>
      <c r="O2" s="42" t="s">
        <v>29</v>
      </c>
    </row>
    <row r="3" spans="1:15" ht="14.25" x14ac:dyDescent="0.2">
      <c r="A3" s="8"/>
      <c r="B3" s="8"/>
      <c r="C3" s="8"/>
      <c r="D3" s="8"/>
      <c r="E3" s="9" t="s">
        <v>44</v>
      </c>
      <c r="F3" s="9" t="s">
        <v>46</v>
      </c>
      <c r="G3" s="8"/>
      <c r="H3" s="10"/>
      <c r="I3" s="10"/>
      <c r="J3" s="11" t="s">
        <v>50</v>
      </c>
      <c r="K3" s="11" t="s">
        <v>52</v>
      </c>
      <c r="L3" s="50" t="s">
        <v>58</v>
      </c>
      <c r="M3" s="11" t="s">
        <v>60</v>
      </c>
      <c r="N3" s="12" t="s">
        <v>63</v>
      </c>
      <c r="O3" s="43" t="s">
        <v>79</v>
      </c>
    </row>
    <row r="4" spans="1:15" s="1" customFormat="1" ht="14.25" x14ac:dyDescent="0.2">
      <c r="A4" s="9" t="s">
        <v>7</v>
      </c>
      <c r="B4" s="9" t="s">
        <v>9</v>
      </c>
      <c r="C4" s="9" t="s">
        <v>43</v>
      </c>
      <c r="D4" s="9" t="s">
        <v>10</v>
      </c>
      <c r="E4" s="9" t="s">
        <v>13</v>
      </c>
      <c r="F4" s="9" t="s">
        <v>12</v>
      </c>
      <c r="G4" s="9" t="s">
        <v>48</v>
      </c>
      <c r="H4" s="11" t="s">
        <v>3</v>
      </c>
      <c r="I4" s="11" t="s">
        <v>3</v>
      </c>
      <c r="J4" s="11" t="s">
        <v>20</v>
      </c>
      <c r="K4" s="11" t="s">
        <v>2</v>
      </c>
      <c r="L4" s="50" t="s">
        <v>37</v>
      </c>
      <c r="M4" s="11" t="s">
        <v>23</v>
      </c>
      <c r="N4" s="12" t="s">
        <v>64</v>
      </c>
      <c r="O4" s="43" t="s">
        <v>55</v>
      </c>
    </row>
    <row r="5" spans="1:15" s="1" customFormat="1" x14ac:dyDescent="0.2">
      <c r="A5" s="9" t="s">
        <v>8</v>
      </c>
      <c r="B5" s="9" t="s">
        <v>0</v>
      </c>
      <c r="C5" s="9" t="s">
        <v>1</v>
      </c>
      <c r="D5" s="9" t="s">
        <v>11</v>
      </c>
      <c r="E5" s="9" t="s">
        <v>2</v>
      </c>
      <c r="F5" s="9" t="s">
        <v>2</v>
      </c>
      <c r="G5" s="9" t="s">
        <v>28</v>
      </c>
      <c r="H5" s="11" t="s">
        <v>5</v>
      </c>
      <c r="I5" s="11" t="s">
        <v>2</v>
      </c>
      <c r="J5" s="11" t="s">
        <v>4</v>
      </c>
      <c r="K5" s="11" t="s">
        <v>51</v>
      </c>
      <c r="L5" s="50" t="s">
        <v>38</v>
      </c>
      <c r="M5" s="11" t="s">
        <v>54</v>
      </c>
      <c r="N5" s="7"/>
      <c r="O5" s="44"/>
    </row>
    <row r="6" spans="1:15" x14ac:dyDescent="0.2">
      <c r="A6" s="67">
        <v>2</v>
      </c>
      <c r="B6" s="67">
        <v>2</v>
      </c>
      <c r="C6" s="67">
        <v>75</v>
      </c>
      <c r="D6" s="25" t="s">
        <v>14</v>
      </c>
      <c r="E6" s="26">
        <v>430</v>
      </c>
      <c r="F6" s="26">
        <v>35.090000000000003</v>
      </c>
      <c r="G6" s="70">
        <v>0.86</v>
      </c>
      <c r="H6" s="73">
        <f>A6*B6*C6*(1-G6)</f>
        <v>42.000000000000007</v>
      </c>
      <c r="I6" s="14">
        <f t="shared" ref="I6:I11" si="0">((E6*$A$6*$B$6*$C$6)-(F6*$G$6*$C$6*$B$6*$A$6))/$H$6</f>
        <v>2855.8757142857139</v>
      </c>
      <c r="J6" s="54">
        <v>0.83</v>
      </c>
      <c r="K6" s="14">
        <f t="shared" ref="K6:K11" si="1">I6*(1-J6)</f>
        <v>485.49887142857148</v>
      </c>
      <c r="L6" s="14"/>
      <c r="M6" s="32" t="str">
        <f>IF(K6&gt;N6*1.5,"Field Overload!",(1-0.99)*K6)</f>
        <v>Field Overload!</v>
      </c>
      <c r="N6" s="35">
        <v>101</v>
      </c>
      <c r="O6" s="45">
        <v>75</v>
      </c>
    </row>
    <row r="7" spans="1:15" x14ac:dyDescent="0.2">
      <c r="A7" s="68"/>
      <c r="B7" s="68"/>
      <c r="C7" s="68"/>
      <c r="D7" s="27" t="s">
        <v>15</v>
      </c>
      <c r="E7" s="28">
        <v>380</v>
      </c>
      <c r="F7" s="28">
        <v>64.849999999999994</v>
      </c>
      <c r="G7" s="71"/>
      <c r="H7" s="74"/>
      <c r="I7" s="15">
        <f t="shared" si="0"/>
        <v>2315.9214285714279</v>
      </c>
      <c r="J7" s="55">
        <v>0.61</v>
      </c>
      <c r="K7" s="15">
        <f t="shared" si="1"/>
        <v>903.2093571428569</v>
      </c>
      <c r="L7" s="51">
        <f>(K7/(1000000*0.4546))*J1*3.785</f>
        <v>4.5120731413801751E-3</v>
      </c>
      <c r="M7" s="33" t="str">
        <f>IF(K7&gt;1.5*N7,"Field Overload!",(1-0.99)*K7)</f>
        <v>Field Overload!</v>
      </c>
      <c r="N7" s="36">
        <v>147</v>
      </c>
      <c r="O7" s="46">
        <v>150</v>
      </c>
    </row>
    <row r="8" spans="1:15" x14ac:dyDescent="0.2">
      <c r="A8" s="68"/>
      <c r="B8" s="68"/>
      <c r="C8" s="68"/>
      <c r="D8" s="27" t="s">
        <v>21</v>
      </c>
      <c r="E8" s="28">
        <v>53</v>
      </c>
      <c r="F8" s="28">
        <v>5</v>
      </c>
      <c r="G8" s="71"/>
      <c r="H8" s="74"/>
      <c r="I8" s="15">
        <f t="shared" si="0"/>
        <v>347.85714285714278</v>
      </c>
      <c r="J8" s="55">
        <v>0</v>
      </c>
      <c r="K8" s="15">
        <f t="shared" si="1"/>
        <v>347.85714285714278</v>
      </c>
      <c r="L8" s="15"/>
      <c r="M8" s="33">
        <f>IF(K8-((K11+(3*0.5*K7/5))/7.14)&lt;2,2,K8-((K11+(3*0.5*K7/5))/7.14))</f>
        <v>270.77151560624242</v>
      </c>
      <c r="N8" s="37">
        <v>68</v>
      </c>
      <c r="O8" s="47">
        <v>53</v>
      </c>
    </row>
    <row r="9" spans="1:15" x14ac:dyDescent="0.2">
      <c r="A9" s="68"/>
      <c r="B9" s="68"/>
      <c r="C9" s="68"/>
      <c r="D9" s="27" t="s">
        <v>22</v>
      </c>
      <c r="E9" s="28">
        <v>0</v>
      </c>
      <c r="F9" s="28">
        <v>0</v>
      </c>
      <c r="G9" s="71"/>
      <c r="H9" s="74"/>
      <c r="I9" s="15">
        <f t="shared" si="0"/>
        <v>0</v>
      </c>
      <c r="J9" s="55">
        <v>0</v>
      </c>
      <c r="K9" s="15">
        <f t="shared" si="1"/>
        <v>0</v>
      </c>
      <c r="L9" s="15"/>
      <c r="M9" s="33">
        <f>IF((K8+K9-M8-(K7*0.5/5))&lt;2,2,K8+K9-M8-(K7*0.5/5))</f>
        <v>2</v>
      </c>
      <c r="N9" s="37">
        <v>0</v>
      </c>
      <c r="O9" s="47" t="s">
        <v>36</v>
      </c>
    </row>
    <row r="10" spans="1:15" x14ac:dyDescent="0.2">
      <c r="A10" s="68"/>
      <c r="B10" s="68"/>
      <c r="C10" s="68"/>
      <c r="D10" s="27" t="s">
        <v>16</v>
      </c>
      <c r="E10" s="28">
        <v>75</v>
      </c>
      <c r="F10" s="28">
        <v>8</v>
      </c>
      <c r="G10" s="71"/>
      <c r="H10" s="74"/>
      <c r="I10" s="15">
        <f t="shared" si="0"/>
        <v>486.5714285714285</v>
      </c>
      <c r="J10" s="55">
        <v>0.79</v>
      </c>
      <c r="K10" s="15">
        <f t="shared" si="1"/>
        <v>102.17999999999996</v>
      </c>
      <c r="L10" s="15"/>
      <c r="M10" s="33">
        <f>(1-0.99)*K10</f>
        <v>1.0218000000000005</v>
      </c>
      <c r="N10" s="36">
        <v>36</v>
      </c>
      <c r="O10" s="46" t="s">
        <v>36</v>
      </c>
    </row>
    <row r="11" spans="1:15" x14ac:dyDescent="0.2">
      <c r="A11" s="69"/>
      <c r="B11" s="69"/>
      <c r="C11" s="69"/>
      <c r="D11" s="29" t="s">
        <v>17</v>
      </c>
      <c r="E11" s="30">
        <v>175</v>
      </c>
      <c r="F11" s="30">
        <v>158</v>
      </c>
      <c r="G11" s="72"/>
      <c r="H11" s="75"/>
      <c r="I11" s="16">
        <f t="shared" si="0"/>
        <v>279.42857142857139</v>
      </c>
      <c r="J11" s="56">
        <v>0</v>
      </c>
      <c r="K11" s="16">
        <f t="shared" si="1"/>
        <v>279.42857142857139</v>
      </c>
      <c r="L11" s="16"/>
      <c r="M11" s="34" t="s">
        <v>34</v>
      </c>
      <c r="N11" s="38" t="s">
        <v>25</v>
      </c>
      <c r="O11" s="48" t="s">
        <v>36</v>
      </c>
    </row>
    <row r="12" spans="1:15" ht="14.25" x14ac:dyDescent="0.2">
      <c r="F12" s="40" t="s">
        <v>42</v>
      </c>
    </row>
    <row r="13" spans="1:15" ht="14.25" x14ac:dyDescent="0.2">
      <c r="F13" s="31" t="s">
        <v>45</v>
      </c>
    </row>
    <row r="14" spans="1:15" ht="14.25" x14ac:dyDescent="0.2">
      <c r="A14" s="18" t="s">
        <v>31</v>
      </c>
      <c r="B14" s="18"/>
      <c r="D14" s="66">
        <f>H6</f>
        <v>42.000000000000007</v>
      </c>
      <c r="E14" s="22" t="s">
        <v>1</v>
      </c>
      <c r="F14" s="31" t="s">
        <v>47</v>
      </c>
    </row>
    <row r="15" spans="1:15" x14ac:dyDescent="0.2">
      <c r="C15" s="20"/>
      <c r="E15" s="20"/>
      <c r="F15" s="31" t="s">
        <v>77</v>
      </c>
    </row>
    <row r="16" spans="1:15" ht="14.25" x14ac:dyDescent="0.2">
      <c r="A16" s="31" t="s">
        <v>6</v>
      </c>
      <c r="B16" s="20">
        <v>1000</v>
      </c>
      <c r="C16" s="31" t="s">
        <v>33</v>
      </c>
      <c r="E16" s="17"/>
      <c r="F16" s="3" t="s">
        <v>68</v>
      </c>
    </row>
    <row r="17" spans="1:14" x14ac:dyDescent="0.2">
      <c r="A17" s="24" t="s">
        <v>35</v>
      </c>
      <c r="B17" s="21">
        <f>B16/D14*24</f>
        <v>571.42857142857133</v>
      </c>
      <c r="C17" s="24" t="s">
        <v>32</v>
      </c>
      <c r="E17" s="21"/>
      <c r="F17" s="49" t="s">
        <v>66</v>
      </c>
    </row>
    <row r="18" spans="1:14" ht="14.25" x14ac:dyDescent="0.2">
      <c r="A18" s="23"/>
      <c r="B18" s="18"/>
      <c r="C18" s="17"/>
      <c r="E18" s="17"/>
      <c r="F18" s="4" t="s">
        <v>56</v>
      </c>
    </row>
    <row r="19" spans="1:14" ht="14.25" x14ac:dyDescent="0.2">
      <c r="F19" s="4" t="s">
        <v>53</v>
      </c>
      <c r="K19" s="5"/>
      <c r="L19" s="5"/>
    </row>
    <row r="20" spans="1:14" x14ac:dyDescent="0.2">
      <c r="F20" s="4" t="s">
        <v>26</v>
      </c>
      <c r="K20" s="5"/>
      <c r="L20" s="5"/>
    </row>
    <row r="21" spans="1:14" ht="14.25" x14ac:dyDescent="0.2">
      <c r="F21" s="31" t="s">
        <v>59</v>
      </c>
      <c r="K21" s="5"/>
      <c r="L21" s="5"/>
    </row>
    <row r="22" spans="1:14" ht="14.25" x14ac:dyDescent="0.2">
      <c r="A22" s="6"/>
      <c r="B22" s="6"/>
      <c r="C22" s="6"/>
      <c r="D22" s="19"/>
      <c r="E22" s="19"/>
      <c r="F22" s="4" t="s">
        <v>61</v>
      </c>
      <c r="G22" s="19"/>
      <c r="H22" s="19"/>
      <c r="I22" s="19"/>
      <c r="J22" s="19"/>
      <c r="K22" s="19"/>
      <c r="L22" s="19"/>
      <c r="M22" s="19"/>
      <c r="N22" s="19"/>
    </row>
    <row r="23" spans="1:14" x14ac:dyDescent="0.2">
      <c r="A23" s="23"/>
      <c r="B23" s="39"/>
      <c r="C23" s="23"/>
      <c r="D23" s="19"/>
      <c r="E23" s="19"/>
      <c r="F23" s="4" t="s">
        <v>24</v>
      </c>
      <c r="G23" s="19"/>
      <c r="H23" s="19"/>
      <c r="I23" s="41"/>
      <c r="J23" s="19"/>
      <c r="K23" s="19"/>
      <c r="L23" s="19"/>
      <c r="M23" s="19"/>
      <c r="N23" s="19"/>
    </row>
    <row r="24" spans="1:14" x14ac:dyDescent="0.2">
      <c r="A24" s="19"/>
      <c r="B24" s="19"/>
      <c r="C24" s="19"/>
      <c r="D24" s="19"/>
      <c r="E24" s="19"/>
      <c r="F24" s="6" t="s">
        <v>27</v>
      </c>
      <c r="G24" s="19"/>
      <c r="H24" s="19"/>
      <c r="I24" s="19"/>
      <c r="J24" s="41"/>
      <c r="K24" s="19"/>
      <c r="L24" s="19"/>
      <c r="M24" s="19"/>
      <c r="N24" s="19"/>
    </row>
    <row r="25" spans="1:14" ht="14.25" x14ac:dyDescent="0.2">
      <c r="A25" s="19"/>
      <c r="B25" s="19"/>
      <c r="C25" s="19"/>
      <c r="D25" s="19"/>
      <c r="E25" s="19"/>
      <c r="F25" s="4" t="s">
        <v>62</v>
      </c>
      <c r="G25" s="19"/>
      <c r="H25" s="19"/>
      <c r="I25" s="19"/>
      <c r="J25" s="19"/>
      <c r="K25" s="19"/>
      <c r="L25" s="19"/>
      <c r="M25" s="19"/>
      <c r="N25" s="19"/>
    </row>
    <row r="26" spans="1:14" ht="14.25" x14ac:dyDescent="0.2">
      <c r="A26" s="19"/>
      <c r="B26" s="19"/>
      <c r="C26" s="19"/>
      <c r="D26" s="19"/>
      <c r="E26" s="19"/>
      <c r="F26" s="4" t="s">
        <v>65</v>
      </c>
      <c r="G26" s="19"/>
      <c r="H26" s="19"/>
      <c r="I26" s="19"/>
      <c r="J26" s="19"/>
      <c r="K26" s="19"/>
      <c r="L26" s="19"/>
      <c r="M26" s="19"/>
      <c r="N26" s="19"/>
    </row>
    <row r="27" spans="1:14" x14ac:dyDescent="0.2">
      <c r="G27" s="18"/>
    </row>
    <row r="28" spans="1:14" x14ac:dyDescent="0.2">
      <c r="G28" s="18"/>
    </row>
    <row r="29" spans="1:14" x14ac:dyDescent="0.2">
      <c r="A29" s="19"/>
      <c r="D29" s="17"/>
      <c r="E29" s="17"/>
      <c r="G29" s="18"/>
    </row>
    <row r="30" spans="1:14" x14ac:dyDescent="0.2">
      <c r="G30" s="18"/>
    </row>
    <row r="31" spans="1:14" x14ac:dyDescent="0.2">
      <c r="F31" s="17"/>
      <c r="G31" s="18"/>
    </row>
    <row r="32" spans="1:14" x14ac:dyDescent="0.2">
      <c r="A32" s="18"/>
      <c r="F32" s="31"/>
      <c r="G32" s="18"/>
    </row>
  </sheetData>
  <mergeCells count="10">
    <mergeCell ref="A2:G2"/>
    <mergeCell ref="H2:M2"/>
    <mergeCell ref="A1:E1"/>
    <mergeCell ref="A6:A11"/>
    <mergeCell ref="B6:B11"/>
    <mergeCell ref="C6:C11"/>
    <mergeCell ref="G6:G11"/>
    <mergeCell ref="H6:H11"/>
    <mergeCell ref="F1:G1"/>
    <mergeCell ref="H1:I1"/>
  </mergeCells>
  <phoneticPr fontId="3" type="noConversion"/>
  <pageMargins left="0.12" right="0.12" top="1" bottom="1" header="0.5" footer="0.5"/>
  <pageSetup paperSize="5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="115" zoomScaleNormal="115" workbookViewId="0">
      <selection activeCell="C29" sqref="C29"/>
    </sheetView>
  </sheetViews>
  <sheetFormatPr defaultRowHeight="12.75" x14ac:dyDescent="0.2"/>
  <cols>
    <col min="1" max="1" width="13.140625" customWidth="1"/>
    <col min="2" max="2" width="10.140625" customWidth="1"/>
    <col min="3" max="3" width="15.7109375" customWidth="1"/>
    <col min="4" max="6" width="12.7109375" customWidth="1"/>
    <col min="7" max="7" width="14.42578125" customWidth="1"/>
    <col min="8" max="11" width="12.7109375" customWidth="1"/>
    <col min="12" max="12" width="15.5703125" customWidth="1"/>
    <col min="13" max="13" width="17.7109375" customWidth="1"/>
    <col min="14" max="14" width="20.85546875" customWidth="1"/>
    <col min="15" max="15" width="20.7109375" customWidth="1"/>
    <col min="16" max="16" width="9.140625" customWidth="1"/>
  </cols>
  <sheetData>
    <row r="1" spans="1:15" s="2" customFormat="1" ht="46.5" customHeight="1" x14ac:dyDescent="0.25">
      <c r="A1" s="76" t="s">
        <v>30</v>
      </c>
      <c r="B1" s="76"/>
      <c r="C1" s="76"/>
      <c r="D1" s="76"/>
      <c r="E1" s="76"/>
      <c r="F1" s="85" t="s">
        <v>73</v>
      </c>
      <c r="G1" s="86"/>
      <c r="H1" s="79" t="s">
        <v>57</v>
      </c>
      <c r="I1" s="80"/>
      <c r="J1" s="52">
        <v>0.6</v>
      </c>
      <c r="K1" s="53" t="s">
        <v>39</v>
      </c>
    </row>
    <row r="2" spans="1:15" s="2" customFormat="1" x14ac:dyDescent="0.2">
      <c r="A2" s="81" t="s">
        <v>18</v>
      </c>
      <c r="B2" s="81"/>
      <c r="C2" s="81"/>
      <c r="D2" s="81"/>
      <c r="E2" s="81"/>
      <c r="F2" s="81"/>
      <c r="G2" s="81"/>
      <c r="H2" s="82" t="s">
        <v>19</v>
      </c>
      <c r="I2" s="82"/>
      <c r="J2" s="82"/>
      <c r="K2" s="82"/>
      <c r="L2" s="82"/>
      <c r="M2" s="82"/>
      <c r="N2" s="13" t="s">
        <v>29</v>
      </c>
      <c r="O2" s="42" t="s">
        <v>29</v>
      </c>
    </row>
    <row r="3" spans="1:15" ht="14.25" x14ac:dyDescent="0.2">
      <c r="A3" s="8"/>
      <c r="B3" s="8"/>
      <c r="C3" s="8"/>
      <c r="D3" s="8"/>
      <c r="E3" s="9" t="s">
        <v>44</v>
      </c>
      <c r="F3" s="9" t="s">
        <v>46</v>
      </c>
      <c r="G3" s="8"/>
      <c r="H3" s="10"/>
      <c r="I3" s="10"/>
      <c r="J3" s="11" t="s">
        <v>50</v>
      </c>
      <c r="K3" s="11" t="s">
        <v>52</v>
      </c>
      <c r="L3" s="50" t="s">
        <v>58</v>
      </c>
      <c r="M3" s="11" t="s">
        <v>60</v>
      </c>
      <c r="N3" s="12" t="s">
        <v>63</v>
      </c>
      <c r="O3" s="43" t="s">
        <v>79</v>
      </c>
    </row>
    <row r="4" spans="1:15" s="1" customFormat="1" ht="14.25" x14ac:dyDescent="0.2">
      <c r="A4" s="9" t="s">
        <v>7</v>
      </c>
      <c r="B4" s="9" t="s">
        <v>74</v>
      </c>
      <c r="C4" s="9" t="s">
        <v>43</v>
      </c>
      <c r="D4" s="9" t="s">
        <v>10</v>
      </c>
      <c r="E4" s="9" t="s">
        <v>13</v>
      </c>
      <c r="F4" s="9" t="s">
        <v>12</v>
      </c>
      <c r="G4" s="9" t="s">
        <v>48</v>
      </c>
      <c r="H4" s="11" t="s">
        <v>3</v>
      </c>
      <c r="I4" s="11" t="s">
        <v>3</v>
      </c>
      <c r="J4" s="11" t="s">
        <v>20</v>
      </c>
      <c r="K4" s="11" t="s">
        <v>2</v>
      </c>
      <c r="L4" s="50" t="s">
        <v>37</v>
      </c>
      <c r="M4" s="11" t="s">
        <v>23</v>
      </c>
      <c r="N4" s="12" t="s">
        <v>64</v>
      </c>
      <c r="O4" s="43" t="s">
        <v>55</v>
      </c>
    </row>
    <row r="5" spans="1:15" s="1" customFormat="1" x14ac:dyDescent="0.2">
      <c r="A5" s="9" t="s">
        <v>8</v>
      </c>
      <c r="B5" s="9" t="s">
        <v>0</v>
      </c>
      <c r="C5" s="9" t="s">
        <v>1</v>
      </c>
      <c r="D5" s="9" t="s">
        <v>11</v>
      </c>
      <c r="E5" s="9" t="s">
        <v>2</v>
      </c>
      <c r="F5" s="9" t="s">
        <v>2</v>
      </c>
      <c r="G5" s="9" t="s">
        <v>28</v>
      </c>
      <c r="H5" s="11" t="s">
        <v>5</v>
      </c>
      <c r="I5" s="11" t="s">
        <v>2</v>
      </c>
      <c r="J5" s="11" t="s">
        <v>4</v>
      </c>
      <c r="K5" s="11" t="s">
        <v>51</v>
      </c>
      <c r="L5" s="50" t="s">
        <v>38</v>
      </c>
      <c r="M5" s="11" t="s">
        <v>54</v>
      </c>
      <c r="N5" s="7"/>
      <c r="O5" s="44"/>
    </row>
    <row r="6" spans="1:15" x14ac:dyDescent="0.2">
      <c r="A6" s="67">
        <v>2.58</v>
      </c>
      <c r="B6" s="67">
        <v>1</v>
      </c>
      <c r="C6" s="67">
        <v>66.900000000000006</v>
      </c>
      <c r="D6" s="25" t="s">
        <v>14</v>
      </c>
      <c r="E6" s="26">
        <v>225</v>
      </c>
      <c r="F6" s="26">
        <v>35.090000000000003</v>
      </c>
      <c r="G6" s="70">
        <v>0.72</v>
      </c>
      <c r="H6" s="73">
        <f>A6*B6*C6*(1-G6)</f>
        <v>48.32856000000001</v>
      </c>
      <c r="I6" s="14">
        <f t="shared" ref="I6:I11" si="0">((E6*$A$6*$B$6*$C$6)-(F6*$G$6*$C$6*$B$6*$A$6))/$H$6</f>
        <v>713.34</v>
      </c>
      <c r="J6" s="54">
        <v>0.7</v>
      </c>
      <c r="K6" s="14">
        <f t="shared" ref="K6:K11" si="1">I6*(1-J6)</f>
        <v>214.00200000000004</v>
      </c>
      <c r="L6" s="14"/>
      <c r="M6" s="32" t="str">
        <f>IF(K6&gt;N6*1.5,"Field Overload!",(1-0.99)*K6)</f>
        <v>Field Overload!</v>
      </c>
      <c r="N6" s="35">
        <v>101</v>
      </c>
      <c r="O6" s="45">
        <v>75</v>
      </c>
    </row>
    <row r="7" spans="1:15" x14ac:dyDescent="0.2">
      <c r="A7" s="68"/>
      <c r="B7" s="68"/>
      <c r="C7" s="68"/>
      <c r="D7" s="27" t="s">
        <v>15</v>
      </c>
      <c r="E7" s="28">
        <v>200</v>
      </c>
      <c r="F7" s="28">
        <v>64.849999999999994</v>
      </c>
      <c r="G7" s="71"/>
      <c r="H7" s="74"/>
      <c r="I7" s="15">
        <f t="shared" si="0"/>
        <v>547.52857142857135</v>
      </c>
      <c r="J7" s="55">
        <v>0.4</v>
      </c>
      <c r="K7" s="15">
        <f t="shared" si="1"/>
        <v>328.5171428571428</v>
      </c>
      <c r="L7" s="51">
        <f>(K7/(1000000*0.4546))*J1*3.785</f>
        <v>1.6411404122933816E-3</v>
      </c>
      <c r="M7" s="33" t="str">
        <f>IF(K7&gt;1.5*N7,"Field Overload!",(1-0.99)*K7)</f>
        <v>Field Overload!</v>
      </c>
      <c r="N7" s="36">
        <v>147</v>
      </c>
      <c r="O7" s="46">
        <v>150</v>
      </c>
    </row>
    <row r="8" spans="1:15" x14ac:dyDescent="0.2">
      <c r="A8" s="68"/>
      <c r="B8" s="68"/>
      <c r="C8" s="68"/>
      <c r="D8" s="27" t="s">
        <v>21</v>
      </c>
      <c r="E8" s="28">
        <v>50</v>
      </c>
      <c r="F8" s="28">
        <v>5</v>
      </c>
      <c r="G8" s="71"/>
      <c r="H8" s="74"/>
      <c r="I8" s="15">
        <f t="shared" si="0"/>
        <v>165.71428571428569</v>
      </c>
      <c r="J8" s="55">
        <v>0.1</v>
      </c>
      <c r="K8" s="15">
        <f t="shared" si="1"/>
        <v>149.14285714285714</v>
      </c>
      <c r="L8" s="15"/>
      <c r="M8" s="33">
        <f>IF(K8-((K11+(3*0.5*K7/5))/7.14)&lt;2,2,K8-((K11+(3*0.5*K7/5))/7.14))</f>
        <v>104.70736294517806</v>
      </c>
      <c r="N8" s="37">
        <v>68</v>
      </c>
      <c r="O8" s="47">
        <v>53</v>
      </c>
    </row>
    <row r="9" spans="1:15" x14ac:dyDescent="0.2">
      <c r="A9" s="68"/>
      <c r="B9" s="68"/>
      <c r="C9" s="68"/>
      <c r="D9" s="27" t="s">
        <v>22</v>
      </c>
      <c r="E9" s="28">
        <v>0</v>
      </c>
      <c r="F9" s="28">
        <v>0</v>
      </c>
      <c r="G9" s="71"/>
      <c r="H9" s="74"/>
      <c r="I9" s="15">
        <f t="shared" si="0"/>
        <v>0</v>
      </c>
      <c r="J9" s="55">
        <v>0</v>
      </c>
      <c r="K9" s="15">
        <f t="shared" si="1"/>
        <v>0</v>
      </c>
      <c r="L9" s="15"/>
      <c r="M9" s="33">
        <f>IF((K8+K9-M8-(K7*0.5/5))&lt;2,2,K8+K9-M8-(K7*0.5/5))</f>
        <v>11.583779911964797</v>
      </c>
      <c r="N9" s="37">
        <v>0</v>
      </c>
      <c r="O9" s="47" t="s">
        <v>36</v>
      </c>
    </row>
    <row r="10" spans="1:15" x14ac:dyDescent="0.2">
      <c r="A10" s="68"/>
      <c r="B10" s="68"/>
      <c r="C10" s="68"/>
      <c r="D10" s="27" t="s">
        <v>16</v>
      </c>
      <c r="E10" s="28">
        <v>87.5</v>
      </c>
      <c r="F10" s="28">
        <v>8</v>
      </c>
      <c r="G10" s="71"/>
      <c r="H10" s="74"/>
      <c r="I10" s="15">
        <f t="shared" si="0"/>
        <v>291.92857142857139</v>
      </c>
      <c r="J10" s="55">
        <v>0.79</v>
      </c>
      <c r="K10" s="15">
        <f t="shared" si="1"/>
        <v>61.304999999999978</v>
      </c>
      <c r="L10" s="15"/>
      <c r="M10" s="33">
        <f>(1-0.99)*K10</f>
        <v>0.61305000000000032</v>
      </c>
      <c r="N10" s="36">
        <v>36</v>
      </c>
      <c r="O10" s="46" t="s">
        <v>36</v>
      </c>
    </row>
    <row r="11" spans="1:15" x14ac:dyDescent="0.2">
      <c r="A11" s="69"/>
      <c r="B11" s="69"/>
      <c r="C11" s="69"/>
      <c r="D11" s="29" t="s">
        <v>17</v>
      </c>
      <c r="E11" s="30">
        <v>175</v>
      </c>
      <c r="F11" s="30">
        <v>158</v>
      </c>
      <c r="G11" s="72"/>
      <c r="H11" s="75"/>
      <c r="I11" s="16">
        <f t="shared" si="0"/>
        <v>218.71428571428572</v>
      </c>
      <c r="J11" s="56">
        <v>0</v>
      </c>
      <c r="K11" s="16">
        <f t="shared" si="1"/>
        <v>218.71428571428572</v>
      </c>
      <c r="L11" s="16"/>
      <c r="M11" s="34" t="s">
        <v>34</v>
      </c>
      <c r="N11" s="38" t="s">
        <v>25</v>
      </c>
      <c r="O11" s="48" t="s">
        <v>36</v>
      </c>
    </row>
    <row r="12" spans="1:15" s="65" customFormat="1" ht="14.25" x14ac:dyDescent="0.2">
      <c r="A12" s="57"/>
      <c r="B12" s="57"/>
      <c r="C12" s="57"/>
      <c r="D12" s="6"/>
      <c r="E12" s="58"/>
      <c r="F12" s="40" t="s">
        <v>75</v>
      </c>
      <c r="G12" s="59"/>
      <c r="H12" s="60"/>
      <c r="I12" s="61"/>
      <c r="J12" s="62"/>
      <c r="K12" s="61"/>
      <c r="L12" s="61"/>
      <c r="M12" s="63"/>
      <c r="N12" s="64"/>
      <c r="O12" s="64"/>
    </row>
    <row r="13" spans="1:15" ht="14.25" x14ac:dyDescent="0.2">
      <c r="F13" s="40" t="s">
        <v>70</v>
      </c>
    </row>
    <row r="14" spans="1:15" ht="14.25" x14ac:dyDescent="0.2">
      <c r="F14" s="31" t="s">
        <v>67</v>
      </c>
    </row>
    <row r="15" spans="1:15" ht="14.25" x14ac:dyDescent="0.2">
      <c r="A15" s="18" t="s">
        <v>31</v>
      </c>
      <c r="B15" s="18"/>
      <c r="D15" s="66">
        <f>H6</f>
        <v>48.32856000000001</v>
      </c>
      <c r="E15" s="22" t="s">
        <v>1</v>
      </c>
      <c r="F15" s="31" t="s">
        <v>47</v>
      </c>
    </row>
    <row r="16" spans="1:15" x14ac:dyDescent="0.2">
      <c r="C16" s="20"/>
      <c r="E16" s="20"/>
      <c r="F16" s="31" t="s">
        <v>77</v>
      </c>
    </row>
    <row r="17" spans="1:14" ht="14.25" x14ac:dyDescent="0.2">
      <c r="A17" s="31" t="s">
        <v>6</v>
      </c>
      <c r="B17" s="20">
        <v>1000</v>
      </c>
      <c r="C17" s="31" t="s">
        <v>33</v>
      </c>
      <c r="E17" s="17"/>
      <c r="F17" s="3" t="s">
        <v>49</v>
      </c>
    </row>
    <row r="18" spans="1:14" x14ac:dyDescent="0.2">
      <c r="A18" s="24" t="s">
        <v>35</v>
      </c>
      <c r="B18" s="21">
        <f>B17/D15*24</f>
        <v>496.60076774478682</v>
      </c>
      <c r="C18" s="24" t="s">
        <v>32</v>
      </c>
      <c r="E18" s="21"/>
      <c r="F18" s="49" t="s">
        <v>41</v>
      </c>
    </row>
    <row r="19" spans="1:14" ht="14.25" x14ac:dyDescent="0.2">
      <c r="A19" s="23"/>
      <c r="B19" s="18"/>
      <c r="C19" s="17"/>
      <c r="E19" s="17"/>
      <c r="F19" s="4" t="s">
        <v>69</v>
      </c>
    </row>
    <row r="20" spans="1:14" ht="14.25" x14ac:dyDescent="0.2">
      <c r="F20" s="4" t="s">
        <v>53</v>
      </c>
      <c r="K20" s="5"/>
      <c r="L20" s="5"/>
    </row>
    <row r="21" spans="1:14" x14ac:dyDescent="0.2">
      <c r="F21" s="4" t="s">
        <v>26</v>
      </c>
      <c r="K21" s="5"/>
      <c r="L21" s="5"/>
    </row>
    <row r="22" spans="1:14" ht="14.25" x14ac:dyDescent="0.2">
      <c r="F22" s="31" t="s">
        <v>59</v>
      </c>
      <c r="K22" s="5"/>
      <c r="L22" s="5"/>
    </row>
    <row r="23" spans="1:14" ht="14.25" x14ac:dyDescent="0.2">
      <c r="A23" s="6"/>
      <c r="B23" s="6"/>
      <c r="C23" s="6"/>
      <c r="D23" s="19"/>
      <c r="E23" s="19"/>
      <c r="F23" s="4" t="s">
        <v>61</v>
      </c>
      <c r="G23" s="19"/>
      <c r="H23" s="19"/>
      <c r="I23" s="19"/>
      <c r="J23" s="19"/>
      <c r="K23" s="19"/>
      <c r="L23" s="19"/>
      <c r="M23" s="19"/>
      <c r="N23" s="19"/>
    </row>
    <row r="24" spans="1:14" x14ac:dyDescent="0.2">
      <c r="A24" s="23"/>
      <c r="B24" s="39"/>
      <c r="C24" s="23"/>
      <c r="D24" s="19"/>
      <c r="E24" s="19"/>
      <c r="F24" s="4" t="s">
        <v>24</v>
      </c>
      <c r="G24" s="19"/>
      <c r="H24" s="19"/>
      <c r="I24" s="41"/>
      <c r="J24" s="19"/>
      <c r="K24" s="19"/>
      <c r="L24" s="19"/>
      <c r="M24" s="19"/>
      <c r="N24" s="19"/>
    </row>
    <row r="25" spans="1:14" x14ac:dyDescent="0.2">
      <c r="A25" s="19"/>
      <c r="B25" s="19"/>
      <c r="C25" s="19"/>
      <c r="D25" s="19"/>
      <c r="E25" s="19"/>
      <c r="F25" s="6" t="s">
        <v>27</v>
      </c>
      <c r="G25" s="19"/>
      <c r="H25" s="19"/>
      <c r="I25" s="19"/>
      <c r="J25" s="41"/>
      <c r="K25" s="19"/>
      <c r="L25" s="19"/>
      <c r="M25" s="19"/>
      <c r="N25" s="19"/>
    </row>
    <row r="26" spans="1:14" ht="14.25" x14ac:dyDescent="0.2">
      <c r="A26" s="19"/>
      <c r="B26" s="19"/>
      <c r="C26" s="19"/>
      <c r="D26" s="19"/>
      <c r="E26" s="19"/>
      <c r="F26" s="4" t="s">
        <v>62</v>
      </c>
      <c r="G26" s="19"/>
      <c r="H26" s="19"/>
      <c r="I26" s="19"/>
      <c r="J26" s="19"/>
      <c r="K26" s="19"/>
      <c r="L26" s="19"/>
      <c r="M26" s="19"/>
      <c r="N26" s="19"/>
    </row>
    <row r="27" spans="1:14" ht="14.25" x14ac:dyDescent="0.2">
      <c r="A27" s="19"/>
      <c r="B27" s="19"/>
      <c r="C27" s="19"/>
      <c r="D27" s="19"/>
      <c r="E27" s="19"/>
      <c r="F27" s="4" t="s">
        <v>65</v>
      </c>
      <c r="G27" s="19"/>
      <c r="H27" s="19"/>
      <c r="I27" s="19"/>
      <c r="J27" s="19"/>
      <c r="K27" s="19"/>
      <c r="L27" s="19"/>
      <c r="M27" s="19"/>
      <c r="N27" s="19"/>
    </row>
    <row r="28" spans="1:14" x14ac:dyDescent="0.2">
      <c r="G28" s="18"/>
    </row>
    <row r="29" spans="1:14" x14ac:dyDescent="0.2">
      <c r="G29" s="18"/>
    </row>
    <row r="30" spans="1:14" x14ac:dyDescent="0.2">
      <c r="A30" s="19"/>
      <c r="D30" s="17"/>
      <c r="E30" s="17"/>
      <c r="G30" s="18"/>
    </row>
    <row r="31" spans="1:14" x14ac:dyDescent="0.2">
      <c r="G31" s="18"/>
    </row>
    <row r="32" spans="1:14" x14ac:dyDescent="0.2">
      <c r="F32" s="17"/>
      <c r="G32" s="18"/>
    </row>
    <row r="33" spans="1:7" x14ac:dyDescent="0.2">
      <c r="A33" s="18"/>
      <c r="F33" s="31"/>
      <c r="G33" s="18"/>
    </row>
  </sheetData>
  <mergeCells count="10">
    <mergeCell ref="A1:E1"/>
    <mergeCell ref="F1:G1"/>
    <mergeCell ref="H1:I1"/>
    <mergeCell ref="A2:G2"/>
    <mergeCell ref="H2:M2"/>
    <mergeCell ref="A6:A11"/>
    <mergeCell ref="B6:B11"/>
    <mergeCell ref="C6:C11"/>
    <mergeCell ref="G6:G11"/>
    <mergeCell ref="H6:H11"/>
  </mergeCells>
  <pageMargins left="0.12" right="0.12" top="1" bottom="1" header="0.5" footer="0.5"/>
  <pageSetup paperSize="5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zoomScaleNormal="100" workbookViewId="0">
      <selection activeCell="M7" sqref="M7"/>
    </sheetView>
  </sheetViews>
  <sheetFormatPr defaultRowHeight="12.75" x14ac:dyDescent="0.2"/>
  <cols>
    <col min="1" max="1" width="13.140625" customWidth="1"/>
    <col min="2" max="2" width="10.140625" customWidth="1"/>
    <col min="3" max="3" width="15.7109375" customWidth="1"/>
    <col min="4" max="6" width="12.7109375" customWidth="1"/>
    <col min="7" max="7" width="14.42578125" customWidth="1"/>
    <col min="8" max="11" width="12.7109375" customWidth="1"/>
    <col min="12" max="12" width="15.5703125" customWidth="1"/>
    <col min="13" max="13" width="17.7109375" customWidth="1"/>
    <col min="14" max="14" width="20.85546875" customWidth="1"/>
    <col min="15" max="15" width="20.7109375" customWidth="1"/>
    <col min="16" max="16" width="9.140625" customWidth="1"/>
  </cols>
  <sheetData>
    <row r="1" spans="1:15" s="2" customFormat="1" ht="46.5" customHeight="1" x14ac:dyDescent="0.25">
      <c r="A1" s="76" t="s">
        <v>30</v>
      </c>
      <c r="B1" s="76"/>
      <c r="C1" s="76"/>
      <c r="D1" s="76"/>
      <c r="E1" s="76"/>
      <c r="F1" s="85" t="s">
        <v>80</v>
      </c>
      <c r="G1" s="86"/>
      <c r="H1" s="79" t="s">
        <v>57</v>
      </c>
      <c r="I1" s="80"/>
      <c r="J1" s="52">
        <v>0.6</v>
      </c>
      <c r="K1" s="53" t="s">
        <v>39</v>
      </c>
    </row>
    <row r="2" spans="1:15" s="2" customFormat="1" x14ac:dyDescent="0.2">
      <c r="A2" s="81" t="s">
        <v>18</v>
      </c>
      <c r="B2" s="81"/>
      <c r="C2" s="81"/>
      <c r="D2" s="81"/>
      <c r="E2" s="81"/>
      <c r="F2" s="81"/>
      <c r="G2" s="81"/>
      <c r="H2" s="82" t="s">
        <v>19</v>
      </c>
      <c r="I2" s="82"/>
      <c r="J2" s="82"/>
      <c r="K2" s="82"/>
      <c r="L2" s="82"/>
      <c r="M2" s="82"/>
      <c r="N2" s="13" t="s">
        <v>29</v>
      </c>
      <c r="O2" s="42" t="s">
        <v>29</v>
      </c>
    </row>
    <row r="3" spans="1:15" ht="14.25" x14ac:dyDescent="0.2">
      <c r="A3" s="8"/>
      <c r="B3" s="8"/>
      <c r="C3" s="8"/>
      <c r="D3" s="8"/>
      <c r="E3" s="9" t="s">
        <v>44</v>
      </c>
      <c r="F3" s="9" t="s">
        <v>46</v>
      </c>
      <c r="G3" s="8"/>
      <c r="H3" s="10"/>
      <c r="I3" s="10"/>
      <c r="J3" s="11" t="s">
        <v>50</v>
      </c>
      <c r="K3" s="11" t="s">
        <v>52</v>
      </c>
      <c r="L3" s="50" t="s">
        <v>58</v>
      </c>
      <c r="M3" s="11" t="s">
        <v>60</v>
      </c>
      <c r="N3" s="12" t="s">
        <v>63</v>
      </c>
      <c r="O3" s="43" t="s">
        <v>79</v>
      </c>
    </row>
    <row r="4" spans="1:15" s="1" customFormat="1" ht="14.25" x14ac:dyDescent="0.2">
      <c r="A4" s="9" t="s">
        <v>7</v>
      </c>
      <c r="B4" s="9" t="s">
        <v>74</v>
      </c>
      <c r="C4" s="9" t="s">
        <v>43</v>
      </c>
      <c r="D4" s="9" t="s">
        <v>10</v>
      </c>
      <c r="E4" s="9" t="s">
        <v>13</v>
      </c>
      <c r="F4" s="9" t="s">
        <v>12</v>
      </c>
      <c r="G4" s="9" t="s">
        <v>48</v>
      </c>
      <c r="H4" s="11" t="s">
        <v>3</v>
      </c>
      <c r="I4" s="11" t="s">
        <v>3</v>
      </c>
      <c r="J4" s="11" t="s">
        <v>20</v>
      </c>
      <c r="K4" s="11" t="s">
        <v>2</v>
      </c>
      <c r="L4" s="50" t="s">
        <v>37</v>
      </c>
      <c r="M4" s="11" t="s">
        <v>23</v>
      </c>
      <c r="N4" s="12" t="s">
        <v>64</v>
      </c>
      <c r="O4" s="43" t="s">
        <v>55</v>
      </c>
    </row>
    <row r="5" spans="1:15" s="1" customFormat="1" x14ac:dyDescent="0.2">
      <c r="A5" s="9" t="s">
        <v>8</v>
      </c>
      <c r="B5" s="9" t="s">
        <v>0</v>
      </c>
      <c r="C5" s="9" t="s">
        <v>1</v>
      </c>
      <c r="D5" s="9" t="s">
        <v>11</v>
      </c>
      <c r="E5" s="9" t="s">
        <v>2</v>
      </c>
      <c r="F5" s="9" t="s">
        <v>2</v>
      </c>
      <c r="G5" s="9" t="s">
        <v>28</v>
      </c>
      <c r="H5" s="11" t="s">
        <v>5</v>
      </c>
      <c r="I5" s="11" t="s">
        <v>2</v>
      </c>
      <c r="J5" s="11" t="s">
        <v>4</v>
      </c>
      <c r="K5" s="11" t="s">
        <v>51</v>
      </c>
      <c r="L5" s="50" t="s">
        <v>38</v>
      </c>
      <c r="M5" s="11" t="s">
        <v>54</v>
      </c>
      <c r="N5" s="7"/>
      <c r="O5" s="44"/>
    </row>
    <row r="6" spans="1:15" x14ac:dyDescent="0.2">
      <c r="A6" s="67">
        <v>2.58</v>
      </c>
      <c r="B6" s="67">
        <v>1</v>
      </c>
      <c r="C6" s="67">
        <v>66.900000000000006</v>
      </c>
      <c r="D6" s="25" t="s">
        <v>14</v>
      </c>
      <c r="E6" s="26">
        <v>225</v>
      </c>
      <c r="F6" s="26">
        <v>35.090000000000003</v>
      </c>
      <c r="G6" s="70">
        <v>0.72</v>
      </c>
      <c r="H6" s="73">
        <f>A6*B6*C6*(1-G6)</f>
        <v>48.32856000000001</v>
      </c>
      <c r="I6" s="14">
        <f t="shared" ref="I6:I11" si="0">((E6*$A$6*$B$6*$C$6)-(F6*$G$6*$C$6*$B$6*$A$6))/$H$6</f>
        <v>713.34</v>
      </c>
      <c r="J6" s="54">
        <v>0.7</v>
      </c>
      <c r="K6" s="14">
        <f t="shared" ref="K6:K11" si="1">I6*(1-J6)</f>
        <v>214.00200000000004</v>
      </c>
      <c r="L6" s="14"/>
      <c r="M6" s="32" t="str">
        <f>IF(K6&gt;N6*1.5,"Field Overload!",(1-0.99)*K6)</f>
        <v>Field Overload!</v>
      </c>
      <c r="N6" s="35">
        <v>101</v>
      </c>
      <c r="O6" s="45">
        <v>75</v>
      </c>
    </row>
    <row r="7" spans="1:15" x14ac:dyDescent="0.2">
      <c r="A7" s="68"/>
      <c r="B7" s="68"/>
      <c r="C7" s="68"/>
      <c r="D7" s="27" t="s">
        <v>15</v>
      </c>
      <c r="E7" s="28">
        <v>200</v>
      </c>
      <c r="F7" s="28">
        <v>64.849999999999994</v>
      </c>
      <c r="G7" s="71"/>
      <c r="H7" s="74"/>
      <c r="I7" s="15">
        <f t="shared" si="0"/>
        <v>547.52857142857135</v>
      </c>
      <c r="J7" s="55">
        <v>0.4</v>
      </c>
      <c r="K7" s="15">
        <f t="shared" si="1"/>
        <v>328.5171428571428</v>
      </c>
      <c r="L7" s="51">
        <f>(K7/(1000000*0.4546))*J1*3.785</f>
        <v>1.6411404122933816E-3</v>
      </c>
      <c r="M7" s="33" t="str">
        <f>IF(K7&gt;1.5*N7,"Field Overload!",(1-0.99)*K7)</f>
        <v>Field Overload!</v>
      </c>
      <c r="N7" s="36">
        <v>147</v>
      </c>
      <c r="O7" s="46">
        <v>150</v>
      </c>
    </row>
    <row r="8" spans="1:15" x14ac:dyDescent="0.2">
      <c r="A8" s="68"/>
      <c r="B8" s="68"/>
      <c r="C8" s="68"/>
      <c r="D8" s="27" t="s">
        <v>21</v>
      </c>
      <c r="E8" s="28">
        <v>50</v>
      </c>
      <c r="F8" s="28">
        <v>5</v>
      </c>
      <c r="G8" s="71"/>
      <c r="H8" s="74"/>
      <c r="I8" s="15">
        <f t="shared" si="0"/>
        <v>165.71428571428569</v>
      </c>
      <c r="J8" s="55">
        <v>0.1</v>
      </c>
      <c r="K8" s="15">
        <f t="shared" si="1"/>
        <v>149.14285714285714</v>
      </c>
      <c r="L8" s="15"/>
      <c r="M8" s="33">
        <f>IF(K8-((K11+(3*0.5*K7/5))/7.14)&lt;2,2,K8-((K11+(3*0.5*K7/5))/7.14))</f>
        <v>104.70736294517806</v>
      </c>
      <c r="N8" s="37">
        <v>68</v>
      </c>
      <c r="O8" s="47">
        <v>53</v>
      </c>
    </row>
    <row r="9" spans="1:15" x14ac:dyDescent="0.2">
      <c r="A9" s="68"/>
      <c r="B9" s="68"/>
      <c r="C9" s="68"/>
      <c r="D9" s="27" t="s">
        <v>22</v>
      </c>
      <c r="E9" s="28">
        <v>0</v>
      </c>
      <c r="F9" s="28">
        <v>0</v>
      </c>
      <c r="G9" s="71"/>
      <c r="H9" s="74"/>
      <c r="I9" s="15">
        <f t="shared" si="0"/>
        <v>0</v>
      </c>
      <c r="J9" s="55">
        <v>0</v>
      </c>
      <c r="K9" s="15">
        <f t="shared" si="1"/>
        <v>0</v>
      </c>
      <c r="L9" s="15"/>
      <c r="M9" s="33">
        <f>IF((K8+K9-M8-(K7*0.5/5))&lt;2,2,K8+K9-M8-(K7*0.5/5))</f>
        <v>11.583779911964797</v>
      </c>
      <c r="N9" s="37">
        <v>0</v>
      </c>
      <c r="O9" s="47" t="s">
        <v>36</v>
      </c>
    </row>
    <row r="10" spans="1:15" x14ac:dyDescent="0.2">
      <c r="A10" s="68"/>
      <c r="B10" s="68"/>
      <c r="C10" s="68"/>
      <c r="D10" s="27" t="s">
        <v>16</v>
      </c>
      <c r="E10" s="28">
        <v>87.5</v>
      </c>
      <c r="F10" s="28">
        <v>8</v>
      </c>
      <c r="G10" s="71"/>
      <c r="H10" s="74"/>
      <c r="I10" s="15">
        <f t="shared" si="0"/>
        <v>291.92857142857139</v>
      </c>
      <c r="J10" s="55">
        <v>0.79</v>
      </c>
      <c r="K10" s="15">
        <f t="shared" si="1"/>
        <v>61.304999999999978</v>
      </c>
      <c r="L10" s="15"/>
      <c r="M10" s="33">
        <f>(1-0.99)*K10</f>
        <v>0.61305000000000032</v>
      </c>
      <c r="N10" s="36">
        <v>36</v>
      </c>
      <c r="O10" s="46" t="s">
        <v>36</v>
      </c>
    </row>
    <row r="11" spans="1:15" x14ac:dyDescent="0.2">
      <c r="A11" s="69"/>
      <c r="B11" s="69"/>
      <c r="C11" s="69"/>
      <c r="D11" s="29" t="s">
        <v>17</v>
      </c>
      <c r="E11" s="30">
        <v>175</v>
      </c>
      <c r="F11" s="30">
        <v>158</v>
      </c>
      <c r="G11" s="72"/>
      <c r="H11" s="75"/>
      <c r="I11" s="16">
        <f t="shared" si="0"/>
        <v>218.71428571428572</v>
      </c>
      <c r="J11" s="56">
        <v>0</v>
      </c>
      <c r="K11" s="16">
        <f t="shared" si="1"/>
        <v>218.71428571428572</v>
      </c>
      <c r="L11" s="16"/>
      <c r="M11" s="34" t="s">
        <v>34</v>
      </c>
      <c r="N11" s="38" t="s">
        <v>25</v>
      </c>
      <c r="O11" s="48" t="s">
        <v>36</v>
      </c>
    </row>
    <row r="12" spans="1:15" s="65" customFormat="1" ht="14.25" x14ac:dyDescent="0.2">
      <c r="A12" s="57"/>
      <c r="B12" s="57"/>
      <c r="C12" s="57"/>
      <c r="D12" s="6"/>
      <c r="E12" s="58"/>
      <c r="F12" s="40" t="s">
        <v>75</v>
      </c>
      <c r="G12" s="59"/>
      <c r="H12" s="60"/>
      <c r="I12" s="61"/>
      <c r="J12" s="62"/>
      <c r="K12" s="61"/>
      <c r="L12" s="61"/>
      <c r="M12" s="63"/>
      <c r="N12" s="64"/>
      <c r="O12" s="64"/>
    </row>
    <row r="13" spans="1:15" ht="14.25" x14ac:dyDescent="0.2">
      <c r="F13" s="40" t="s">
        <v>70</v>
      </c>
    </row>
    <row r="14" spans="1:15" ht="14.25" x14ac:dyDescent="0.2">
      <c r="F14" s="31" t="s">
        <v>67</v>
      </c>
    </row>
    <row r="15" spans="1:15" ht="14.25" x14ac:dyDescent="0.2">
      <c r="A15" s="18" t="s">
        <v>31</v>
      </c>
      <c r="B15" s="18"/>
      <c r="D15" s="66">
        <f>H6</f>
        <v>48.32856000000001</v>
      </c>
      <c r="E15" s="22" t="s">
        <v>1</v>
      </c>
      <c r="F15" s="31" t="s">
        <v>47</v>
      </c>
    </row>
    <row r="16" spans="1:15" x14ac:dyDescent="0.2">
      <c r="C16" s="20"/>
      <c r="E16" s="20"/>
      <c r="F16" s="31" t="s">
        <v>77</v>
      </c>
    </row>
    <row r="17" spans="1:14" ht="14.25" x14ac:dyDescent="0.2">
      <c r="A17" s="31" t="s">
        <v>6</v>
      </c>
      <c r="B17" s="20">
        <v>1000</v>
      </c>
      <c r="C17" s="31" t="s">
        <v>33</v>
      </c>
      <c r="E17" s="17"/>
      <c r="F17" s="3" t="s">
        <v>49</v>
      </c>
    </row>
    <row r="18" spans="1:14" x14ac:dyDescent="0.2">
      <c r="A18" s="24" t="s">
        <v>35</v>
      </c>
      <c r="B18" s="21">
        <f>B17/D15*24</f>
        <v>496.60076774478682</v>
      </c>
      <c r="C18" s="24" t="s">
        <v>32</v>
      </c>
      <c r="E18" s="21"/>
      <c r="F18" s="49" t="s">
        <v>41</v>
      </c>
    </row>
    <row r="19" spans="1:14" ht="14.25" x14ac:dyDescent="0.2">
      <c r="A19" s="23"/>
      <c r="B19" s="18"/>
      <c r="C19" s="17"/>
      <c r="E19" s="17"/>
      <c r="F19" s="4" t="s">
        <v>69</v>
      </c>
    </row>
    <row r="20" spans="1:14" ht="14.25" x14ac:dyDescent="0.2">
      <c r="F20" s="4" t="s">
        <v>53</v>
      </c>
      <c r="K20" s="5"/>
      <c r="L20" s="5"/>
    </row>
    <row r="21" spans="1:14" x14ac:dyDescent="0.2">
      <c r="F21" s="4" t="s">
        <v>26</v>
      </c>
      <c r="K21" s="5"/>
      <c r="L21" s="5"/>
    </row>
    <row r="22" spans="1:14" ht="14.25" x14ac:dyDescent="0.2">
      <c r="F22" s="31" t="s">
        <v>59</v>
      </c>
      <c r="K22" s="5"/>
      <c r="L22" s="5"/>
    </row>
    <row r="23" spans="1:14" ht="14.25" x14ac:dyDescent="0.2">
      <c r="A23" s="6"/>
      <c r="B23" s="6"/>
      <c r="C23" s="6"/>
      <c r="D23" s="19"/>
      <c r="E23" s="19"/>
      <c r="F23" s="4" t="s">
        <v>61</v>
      </c>
      <c r="G23" s="19"/>
      <c r="H23" s="19"/>
      <c r="I23" s="19"/>
      <c r="J23" s="19"/>
      <c r="K23" s="19"/>
      <c r="L23" s="19"/>
      <c r="M23" s="19"/>
      <c r="N23" s="19"/>
    </row>
    <row r="24" spans="1:14" x14ac:dyDescent="0.2">
      <c r="A24" s="23"/>
      <c r="B24" s="39"/>
      <c r="C24" s="23"/>
      <c r="D24" s="19"/>
      <c r="E24" s="19"/>
      <c r="F24" s="4" t="s">
        <v>24</v>
      </c>
      <c r="G24" s="19"/>
      <c r="H24" s="19"/>
      <c r="I24" s="41"/>
      <c r="J24" s="19"/>
      <c r="K24" s="19"/>
      <c r="L24" s="19"/>
      <c r="M24" s="19"/>
      <c r="N24" s="19"/>
    </row>
    <row r="25" spans="1:14" x14ac:dyDescent="0.2">
      <c r="A25" s="19"/>
      <c r="B25" s="19"/>
      <c r="C25" s="19"/>
      <c r="D25" s="19"/>
      <c r="E25" s="19"/>
      <c r="F25" s="6" t="s">
        <v>27</v>
      </c>
      <c r="G25" s="19"/>
      <c r="H25" s="19"/>
      <c r="I25" s="19"/>
      <c r="J25" s="41"/>
      <c r="K25" s="19"/>
      <c r="L25" s="19"/>
      <c r="M25" s="19"/>
      <c r="N25" s="19"/>
    </row>
    <row r="26" spans="1:14" ht="14.25" x14ac:dyDescent="0.2">
      <c r="A26" s="19"/>
      <c r="B26" s="19"/>
      <c r="C26" s="19"/>
      <c r="D26" s="19"/>
      <c r="E26" s="19"/>
      <c r="F26" s="4" t="s">
        <v>62</v>
      </c>
      <c r="G26" s="19"/>
      <c r="H26" s="19"/>
      <c r="I26" s="19"/>
      <c r="J26" s="19"/>
      <c r="K26" s="19"/>
      <c r="L26" s="19"/>
      <c r="M26" s="19"/>
      <c r="N26" s="19"/>
    </row>
    <row r="27" spans="1:14" ht="14.25" x14ac:dyDescent="0.2">
      <c r="A27" s="19"/>
      <c r="B27" s="19"/>
      <c r="C27" s="19"/>
      <c r="D27" s="19"/>
      <c r="E27" s="19"/>
      <c r="F27" s="4" t="s">
        <v>65</v>
      </c>
      <c r="G27" s="19"/>
      <c r="H27" s="19"/>
      <c r="I27" s="19"/>
      <c r="J27" s="19"/>
      <c r="K27" s="19"/>
      <c r="L27" s="19"/>
      <c r="M27" s="19"/>
      <c r="N27" s="19"/>
    </row>
    <row r="28" spans="1:14" x14ac:dyDescent="0.2">
      <c r="G28" s="18"/>
    </row>
    <row r="29" spans="1:14" x14ac:dyDescent="0.2">
      <c r="G29" s="18"/>
    </row>
    <row r="30" spans="1:14" x14ac:dyDescent="0.2">
      <c r="A30" s="19"/>
      <c r="D30" s="17"/>
      <c r="E30" s="17"/>
      <c r="G30" s="18"/>
    </row>
    <row r="31" spans="1:14" x14ac:dyDescent="0.2">
      <c r="G31" s="18"/>
    </row>
    <row r="32" spans="1:14" x14ac:dyDescent="0.2">
      <c r="F32" s="17"/>
      <c r="G32" s="18"/>
    </row>
    <row r="33" spans="1:7" x14ac:dyDescent="0.2">
      <c r="A33" s="18"/>
      <c r="F33" s="31"/>
      <c r="G33" s="18"/>
    </row>
  </sheetData>
  <mergeCells count="10">
    <mergeCell ref="A6:A11"/>
    <mergeCell ref="B6:B11"/>
    <mergeCell ref="C6:C11"/>
    <mergeCell ref="G6:G11"/>
    <mergeCell ref="H6:H11"/>
    <mergeCell ref="A1:E1"/>
    <mergeCell ref="F1:G1"/>
    <mergeCell ref="H1:I1"/>
    <mergeCell ref="A2:G2"/>
    <mergeCell ref="H2:M2"/>
  </mergeCells>
  <pageMargins left="0.12" right="0.12" top="1" bottom="1" header="0.5" footer="0.5"/>
  <pageSetup paperSize="5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NSF</vt:lpstr>
      <vt:lpstr>AZ </vt:lpstr>
      <vt:lpstr>AZ Broad</vt:lpstr>
      <vt:lpstr>Play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Greywater/Blackwater</dc:title>
  <dc:creator>Tom &amp; Tina Edvardsson</dc:creator>
  <cp:lastModifiedBy>kgreen</cp:lastModifiedBy>
  <cp:lastPrinted>2012-03-29T22:44:27Z</cp:lastPrinted>
  <dcterms:created xsi:type="dcterms:W3CDTF">2011-12-01T23:22:14Z</dcterms:created>
  <dcterms:modified xsi:type="dcterms:W3CDTF">2013-12-11T19:33:08Z</dcterms:modified>
  <cp:category>Septic</cp:category>
</cp:coreProperties>
</file>